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0" windowWidth="19425" windowHeight="11025"/>
  </bookViews>
  <sheets>
    <sheet name="Cover" sheetId="19" r:id="rId1"/>
    <sheet name="Instructions" sheetId="21" r:id="rId2"/>
    <sheet name="Input &amp; Results" sheetId="3" r:id="rId3"/>
    <sheet name="M1Energy Handled " sheetId="1" r:id="rId4"/>
    <sheet name="M2DF" sheetId="17" r:id="rId5"/>
    <sheet name="M3SM" sheetId="16" r:id="rId6"/>
    <sheet name="M4PP" sheetId="12" r:id="rId7"/>
    <sheet name="M5Current" sheetId="13" r:id="rId8"/>
  </sheets>
  <definedNames>
    <definedName name="\a" localSheetId="3">#REF!</definedName>
    <definedName name="\a" localSheetId="4">#REF!</definedName>
    <definedName name="\a" localSheetId="5">#REF!</definedName>
    <definedName name="\a" localSheetId="6">#REF!</definedName>
    <definedName name="\a" localSheetId="7">#REF!</definedName>
    <definedName name="\a">#REF!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c" localSheetId="3">#REF!</definedName>
    <definedName name="\c" localSheetId="4">#REF!</definedName>
    <definedName name="\c" localSheetId="5">#REF!</definedName>
    <definedName name="\c" localSheetId="6">#REF!</definedName>
    <definedName name="\c" localSheetId="7">#REF!</definedName>
    <definedName name="\c">#REF!</definedName>
    <definedName name="\d" localSheetId="3">#REF!</definedName>
    <definedName name="\d" localSheetId="4">#REF!</definedName>
    <definedName name="\d" localSheetId="5">#REF!</definedName>
    <definedName name="\d" localSheetId="6">#REF!</definedName>
    <definedName name="\d" localSheetId="7">#REF!</definedName>
    <definedName name="\d">#REF!</definedName>
    <definedName name="\e" localSheetId="3">#REF!</definedName>
    <definedName name="\e" localSheetId="4">#REF!</definedName>
    <definedName name="\e" localSheetId="5">#REF!</definedName>
    <definedName name="\e" localSheetId="6">#REF!</definedName>
    <definedName name="\e" localSheetId="7">#REF!</definedName>
    <definedName name="\e">#REF!</definedName>
    <definedName name="\f" localSheetId="3">#REF!</definedName>
    <definedName name="\f" localSheetId="4">#REF!</definedName>
    <definedName name="\f" localSheetId="5">#REF!</definedName>
    <definedName name="\f" localSheetId="6">#REF!</definedName>
    <definedName name="\f" localSheetId="7">#REF!</definedName>
    <definedName name="\f">#REF!</definedName>
    <definedName name="\g" localSheetId="3">#REF!</definedName>
    <definedName name="\g" localSheetId="4">#REF!</definedName>
    <definedName name="\g" localSheetId="5">#REF!</definedName>
    <definedName name="\g" localSheetId="6">#REF!</definedName>
    <definedName name="\g" localSheetId="7">#REF!</definedName>
    <definedName name="\g">#REF!</definedName>
    <definedName name="\j" localSheetId="3">#REF!</definedName>
    <definedName name="\j" localSheetId="4">#REF!</definedName>
    <definedName name="\j" localSheetId="5">#REF!</definedName>
    <definedName name="\j" localSheetId="6">#REF!</definedName>
    <definedName name="\j" localSheetId="7">#REF!</definedName>
    <definedName name="\j">#REF!</definedName>
    <definedName name="\k" localSheetId="3">#REF!</definedName>
    <definedName name="\k" localSheetId="4">#REF!</definedName>
    <definedName name="\k" localSheetId="5">#REF!</definedName>
    <definedName name="\k" localSheetId="6">#REF!</definedName>
    <definedName name="\k" localSheetId="7">#REF!</definedName>
    <definedName name="\k">#REF!</definedName>
    <definedName name="\m" localSheetId="3">#REF!</definedName>
    <definedName name="\m" localSheetId="4">#REF!</definedName>
    <definedName name="\m" localSheetId="5">#REF!</definedName>
    <definedName name="\m" localSheetId="6">#REF!</definedName>
    <definedName name="\m" localSheetId="7">#REF!</definedName>
    <definedName name="\m">#REF!</definedName>
    <definedName name="\n" localSheetId="3">#REF!</definedName>
    <definedName name="\n" localSheetId="4">#REF!</definedName>
    <definedName name="\n" localSheetId="5">#REF!</definedName>
    <definedName name="\n" localSheetId="6">#REF!</definedName>
    <definedName name="\n" localSheetId="7">#REF!</definedName>
    <definedName name="\n">#REF!</definedName>
    <definedName name="\o" localSheetId="3">#REF!</definedName>
    <definedName name="\o" localSheetId="4">#REF!</definedName>
    <definedName name="\o" localSheetId="5">#REF!</definedName>
    <definedName name="\o" localSheetId="6">#REF!</definedName>
    <definedName name="\o" localSheetId="7">#REF!</definedName>
    <definedName name="\o">#REF!</definedName>
    <definedName name="\p" localSheetId="3">#REF!</definedName>
    <definedName name="\p" localSheetId="4">#REF!</definedName>
    <definedName name="\p" localSheetId="5">#REF!</definedName>
    <definedName name="\p" localSheetId="6">#REF!</definedName>
    <definedName name="\p" localSheetId="7">#REF!</definedName>
    <definedName name="\p">#REF!</definedName>
    <definedName name="\s" localSheetId="3">#REF!</definedName>
    <definedName name="\s" localSheetId="4">#REF!</definedName>
    <definedName name="\s" localSheetId="5">#REF!</definedName>
    <definedName name="\s" localSheetId="6">#REF!</definedName>
    <definedName name="\s" localSheetId="7">#REF!</definedName>
    <definedName name="\s">#REF!</definedName>
    <definedName name="\t" localSheetId="3">#REF!</definedName>
    <definedName name="\t" localSheetId="4">#REF!</definedName>
    <definedName name="\t" localSheetId="5">#REF!</definedName>
    <definedName name="\t" localSheetId="6">#REF!</definedName>
    <definedName name="\t" localSheetId="7">#REF!</definedName>
    <definedName name="\t">#REF!</definedName>
    <definedName name="\w" localSheetId="3">#REF!</definedName>
    <definedName name="\w" localSheetId="4">#REF!</definedName>
    <definedName name="\w" localSheetId="5">#REF!</definedName>
    <definedName name="\w" localSheetId="6">#REF!</definedName>
    <definedName name="\w" localSheetId="7">#REF!</definedName>
    <definedName name="\w">#REF!</definedName>
    <definedName name="\x" localSheetId="3">#REF!</definedName>
    <definedName name="\x" localSheetId="4">#REF!</definedName>
    <definedName name="\x" localSheetId="5">#REF!</definedName>
    <definedName name="\x" localSheetId="6">#REF!</definedName>
    <definedName name="\x" localSheetId="7">#REF!</definedName>
    <definedName name="\x">#REF!</definedName>
    <definedName name="\z" localSheetId="3">#REF!</definedName>
    <definedName name="\z" localSheetId="4">#REF!</definedName>
    <definedName name="\z" localSheetId="5">#REF!</definedName>
    <definedName name="\z" localSheetId="6">#REF!</definedName>
    <definedName name="\z" localSheetId="7">#REF!</definedName>
    <definedName name="\z">#REF!</definedName>
    <definedName name="_" localSheetId="0">#REF!</definedName>
    <definedName name="_" localSheetId="3">#REF!</definedName>
    <definedName name="_" localSheetId="4">#REF!</definedName>
    <definedName name="_" localSheetId="5">#REF!</definedName>
    <definedName name="_" localSheetId="6">#REF!</definedName>
    <definedName name="_" localSheetId="7">#REF!</definedName>
    <definedName name="_">#REF!</definedName>
    <definedName name="_.._D__D__D__D_" localSheetId="3">#REF!</definedName>
    <definedName name="_.._D__D__D__D_" localSheetId="4">#REF!</definedName>
    <definedName name="_.._D__D__D__D_" localSheetId="5">#REF!</definedName>
    <definedName name="_.._D__D__D__D_" localSheetId="6">#REF!</definedName>
    <definedName name="_.._D__D__D__D_" localSheetId="7">#REF!</definedName>
    <definedName name="_.._D__D__D__D_">#REF!</definedName>
    <definedName name="_________XL__ENTER_UNIT" localSheetId="3">#REF!</definedName>
    <definedName name="_________XL__ENTER_UNIT" localSheetId="4">#REF!</definedName>
    <definedName name="_________XL__ENTER_UNIT" localSheetId="5">#REF!</definedName>
    <definedName name="_________XL__ENTER_UNIT" localSheetId="6">#REF!</definedName>
    <definedName name="_________XL__ENTER_UNIT" localSheetId="7">#REF!</definedName>
    <definedName name="_________XL__ENTER_UNIT">#REF!</definedName>
    <definedName name="_______XL__ENTER_UNIT" localSheetId="0">#REF!</definedName>
    <definedName name="_______XL__ENTER_UNIT" localSheetId="3">#REF!</definedName>
    <definedName name="_______XL__ENTER_UNIT" localSheetId="4">#REF!</definedName>
    <definedName name="_______XL__ENTER_UNIT" localSheetId="5">#REF!</definedName>
    <definedName name="_______XL__ENTER_UNIT" localSheetId="6">#REF!</definedName>
    <definedName name="_______XL__ENTER_UNIT" localSheetId="7">#REF!</definedName>
    <definedName name="_______XL__ENTER_UNIT">#REF!</definedName>
    <definedName name="______XL__ENTER_UNIT" localSheetId="0">#REF!</definedName>
    <definedName name="______XL__ENTER_UNIT" localSheetId="3">#REF!</definedName>
    <definedName name="______XL__ENTER_UNIT" localSheetId="4">#REF!</definedName>
    <definedName name="______XL__ENTER_UNIT" localSheetId="5">#REF!</definedName>
    <definedName name="______XL__ENTER_UNIT" localSheetId="6">#REF!</definedName>
    <definedName name="______XL__ENTER_UNIT" localSheetId="7">#REF!</definedName>
    <definedName name="______XL__ENTER_UNIT">#REF!</definedName>
    <definedName name="____XL__ENTER_UNIT" localSheetId="0">#REF!</definedName>
    <definedName name="____XL__ENTER_UNIT" localSheetId="3">#REF!</definedName>
    <definedName name="____XL__ENTER_UNIT" localSheetId="4">#REF!</definedName>
    <definedName name="____XL__ENTER_UNIT" localSheetId="5">#REF!</definedName>
    <definedName name="____XL__ENTER_UNIT" localSheetId="6">#REF!</definedName>
    <definedName name="____XL__ENTER_UNIT" localSheetId="7">#REF!</definedName>
    <definedName name="____XL__ENTER_UNIT">#REF!</definedName>
    <definedName name="___INDEX_SHEET___ASAP_Utilities" localSheetId="3">#REF!</definedName>
    <definedName name="___INDEX_SHEET___ASAP_Utilities" localSheetId="4">#REF!</definedName>
    <definedName name="___INDEX_SHEET___ASAP_Utilities" localSheetId="5">#REF!</definedName>
    <definedName name="___INDEX_SHEET___ASAP_Utilities" localSheetId="6">#REF!</definedName>
    <definedName name="___INDEX_SHEET___ASAP_Utilities" localSheetId="7">#REF!</definedName>
    <definedName name="___INDEX_SHEET___ASAP_Utilities">#REF!</definedName>
    <definedName name="___XL__ENTER_UNIT" localSheetId="0">#REF!</definedName>
    <definedName name="___XL__ENTER_UNIT" localSheetId="3">#REF!</definedName>
    <definedName name="___XL__ENTER_UNIT" localSheetId="4">#REF!</definedName>
    <definedName name="___XL__ENTER_UNIT" localSheetId="5">#REF!</definedName>
    <definedName name="___XL__ENTER_UNIT" localSheetId="6">#REF!</definedName>
    <definedName name="___XL__ENTER_UNIT" localSheetId="7">#REF!</definedName>
    <definedName name="___XL__ENTER_UNIT">#REF!</definedName>
    <definedName name="__DOWN_10__GOTO" localSheetId="0">#REF!</definedName>
    <definedName name="__DOWN_10__GOTO" localSheetId="3">#REF!</definedName>
    <definedName name="__DOWN_10__GOTO" localSheetId="4">#REF!</definedName>
    <definedName name="__DOWN_10__GOTO" localSheetId="5">#REF!</definedName>
    <definedName name="__DOWN_10__GOTO" localSheetId="6">#REF!</definedName>
    <definedName name="__DOWN_10__GOTO" localSheetId="7">#REF!</definedName>
    <definedName name="__DOWN_10__GOTO">#REF!</definedName>
    <definedName name="__ES84__EW84_0." localSheetId="3">#REF!</definedName>
    <definedName name="__ES84__EW84_0." localSheetId="4">#REF!</definedName>
    <definedName name="__ES84__EW84_0." localSheetId="5">#REF!</definedName>
    <definedName name="__ES84__EW84_0." localSheetId="6">#REF!</definedName>
    <definedName name="__ES84__EW84_0." localSheetId="7">#REF!</definedName>
    <definedName name="__ES84__EW84_0.">#REF!</definedName>
    <definedName name="__GOTO_EP84__AV" localSheetId="3">#REF!</definedName>
    <definedName name="__GOTO_EP84__AV" localSheetId="4">#REF!</definedName>
    <definedName name="__GOTO_EP84__AV" localSheetId="5">#REF!</definedName>
    <definedName name="__GOTO_EP84__AV" localSheetId="6">#REF!</definedName>
    <definedName name="__GOTO_EP84__AV" localSheetId="7">#REF!</definedName>
    <definedName name="__GOTO_EP84__AV">#REF!</definedName>
    <definedName name="__SUM_CS57..CS6" localSheetId="0">#REF!</definedName>
    <definedName name="__SUM_CS57..CS6" localSheetId="3">#REF!</definedName>
    <definedName name="__SUM_CS57..CS6" localSheetId="4">#REF!</definedName>
    <definedName name="__SUM_CS57..CS6" localSheetId="5">#REF!</definedName>
    <definedName name="__SUM_CS57..CS6" localSheetId="6">#REF!</definedName>
    <definedName name="__SUM_CS57..CS6" localSheetId="7">#REF!</definedName>
    <definedName name="__SUM_CS57..CS6">#REF!</definedName>
    <definedName name="__SUM_CS65..CS7" localSheetId="3">#REF!</definedName>
    <definedName name="__SUM_CS65..CS7" localSheetId="4">#REF!</definedName>
    <definedName name="__SUM_CS65..CS7" localSheetId="5">#REF!</definedName>
    <definedName name="__SUM_CS65..CS7" localSheetId="6">#REF!</definedName>
    <definedName name="__SUM_CS65..CS7" localSheetId="7">#REF!</definedName>
    <definedName name="__SUM_CS65..CS7">#REF!</definedName>
    <definedName name="__SUM_FQ20..FQ2" localSheetId="3">#REF!</definedName>
    <definedName name="__SUM_FQ20..FQ2" localSheetId="4">#REF!</definedName>
    <definedName name="__SUM_FQ20..FQ2" localSheetId="5">#REF!</definedName>
    <definedName name="__SUM_FQ20..FQ2" localSheetId="6">#REF!</definedName>
    <definedName name="__SUM_FQ20..FQ2" localSheetId="7">#REF!</definedName>
    <definedName name="__SUM_FQ20..FQ2">#REF!</definedName>
    <definedName name="__SUM_FQ28..FQ3" localSheetId="3">#REF!</definedName>
    <definedName name="__SUM_FQ28..FQ3" localSheetId="4">#REF!</definedName>
    <definedName name="__SUM_FQ28..FQ3" localSheetId="5">#REF!</definedName>
    <definedName name="__SUM_FQ28..FQ3" localSheetId="6">#REF!</definedName>
    <definedName name="__SUM_FQ28..FQ3" localSheetId="7">#REF!</definedName>
    <definedName name="__SUM_FQ28..FQ3">#REF!</definedName>
    <definedName name="__XL__ENTER_UNIT" localSheetId="3">#REF!</definedName>
    <definedName name="__XL__ENTER_UNIT" localSheetId="4">#REF!</definedName>
    <definedName name="__XL__ENTER_UNIT" localSheetId="5">#REF!</definedName>
    <definedName name="__XL__ENTER_UNIT" localSheetId="6">#REF!</definedName>
    <definedName name="__XL__ENTER_UNIT" localSheetId="7">#REF!</definedName>
    <definedName name="__XL__ENTER_UNIT">#REF!</definedName>
    <definedName name="_5" localSheetId="3">#REF!</definedName>
    <definedName name="_5" localSheetId="4">#REF!</definedName>
    <definedName name="_5" localSheetId="5">#REF!</definedName>
    <definedName name="_5" localSheetId="6">#REF!</definedName>
    <definedName name="_5" localSheetId="7">#REF!</definedName>
    <definedName name="_5">#REF!</definedName>
    <definedName name="_6" localSheetId="3">#REF!</definedName>
    <definedName name="_6" localSheetId="4">#REF!</definedName>
    <definedName name="_6" localSheetId="5">#REF!</definedName>
    <definedName name="_6" localSheetId="6">#REF!</definedName>
    <definedName name="_6" localSheetId="7">#REF!</definedName>
    <definedName name="_6">#REF!</definedName>
    <definedName name="_D___GOTO_GK112" localSheetId="3">#REF!</definedName>
    <definedName name="_D___GOTO_GK112" localSheetId="4">#REF!</definedName>
    <definedName name="_D___GOTO_GK112" localSheetId="5">#REF!</definedName>
    <definedName name="_D___GOTO_GK112" localSheetId="6">#REF!</definedName>
    <definedName name="_D___GOTO_GK112" localSheetId="7">#REF!</definedName>
    <definedName name="_D___GOTO_GK112">#REF!</definedName>
    <definedName name="_D___GOTO_GK56_" localSheetId="3">#REF!</definedName>
    <definedName name="_D___GOTO_GK56_" localSheetId="4">#REF!</definedName>
    <definedName name="_D___GOTO_GK56_" localSheetId="5">#REF!</definedName>
    <definedName name="_D___GOTO_GK56_" localSheetId="6">#REF!</definedName>
    <definedName name="_D___GOTO_GK56_" localSheetId="7">#REF!</definedName>
    <definedName name="_D___GOTO_GK56_">#REF!</definedName>
    <definedName name="_D__D___L___GOT" localSheetId="3">#REF!</definedName>
    <definedName name="_D__D___L___GOT" localSheetId="4">#REF!</definedName>
    <definedName name="_D__D___L___GOT" localSheetId="5">#REF!</definedName>
    <definedName name="_D__D___L___GOT" localSheetId="6">#REF!</definedName>
    <definedName name="_D__D___L___GOT" localSheetId="7">#REF!</definedName>
    <definedName name="_D__D___L___GOT">#REF!</definedName>
    <definedName name="_D__D__D___D__D" localSheetId="3">#REF!</definedName>
    <definedName name="_D__D__D___D__D" localSheetId="4">#REF!</definedName>
    <definedName name="_D__D__D___D__D" localSheetId="5">#REF!</definedName>
    <definedName name="_D__D__D___D__D" localSheetId="6">#REF!</definedName>
    <definedName name="_D__D__D___D__D" localSheetId="7">#REF!</definedName>
    <definedName name="_D__D__D___D__D">#REF!</definedName>
    <definedName name="_D_19__U_19_" localSheetId="3">#REF!</definedName>
    <definedName name="_D_19__U_19_" localSheetId="4">#REF!</definedName>
    <definedName name="_D_19__U_19_" localSheetId="5">#REF!</definedName>
    <definedName name="_D_19__U_19_" localSheetId="6">#REF!</definedName>
    <definedName name="_D_19__U_19_" localSheetId="7">#REF!</definedName>
    <definedName name="_D_19__U_19_">#REF!</definedName>
    <definedName name="_DOWN_9__RIGHT_" localSheetId="3">#REF!</definedName>
    <definedName name="_DOWN_9__RIGHT_" localSheetId="4">#REF!</definedName>
    <definedName name="_DOWN_9__RIGHT_" localSheetId="5">#REF!</definedName>
    <definedName name="_DOWN_9__RIGHT_" localSheetId="6">#REF!</definedName>
    <definedName name="_DOWN_9__RIGHT_" localSheetId="7">#REF!</definedName>
    <definedName name="_DOWN_9__RIGHT_">#REF!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hidden="1">#REF!</definedName>
    <definedName name="_FROM__R__R__08" localSheetId="3">#REF!</definedName>
    <definedName name="_FROM__R__R__08" localSheetId="4">#REF!</definedName>
    <definedName name="_FROM__R__R__08" localSheetId="5">#REF!</definedName>
    <definedName name="_FROM__R__R__08" localSheetId="6">#REF!</definedName>
    <definedName name="_FROM__R__R__08" localSheetId="7">#REF!</definedName>
    <definedName name="_FROM__R__R__08">#REF!</definedName>
    <definedName name="_FROM__R__R__16" localSheetId="3">#REF!</definedName>
    <definedName name="_FROM__R__R__16" localSheetId="4">#REF!</definedName>
    <definedName name="_FROM__R__R__16" localSheetId="5">#REF!</definedName>
    <definedName name="_FROM__R__R__16" localSheetId="6">#REF!</definedName>
    <definedName name="_FROM__R__R__16" localSheetId="7">#REF!</definedName>
    <definedName name="_FROM__R__R__16">#REF!</definedName>
    <definedName name="_GENERATION__R_" localSheetId="3">#REF!</definedName>
    <definedName name="_GENERATION__R_" localSheetId="4">#REF!</definedName>
    <definedName name="_GENERATION__R_" localSheetId="5">#REF!</definedName>
    <definedName name="_GENERATION__R_" localSheetId="6">#REF!</definedName>
    <definedName name="_GENERATION__R_" localSheetId="7">#REF!</definedName>
    <definedName name="_GENERATION__R_">#REF!</definedName>
    <definedName name="_GOTO_BT49__R__" localSheetId="3">#REF!</definedName>
    <definedName name="_GOTO_BT49__R__" localSheetId="4">#REF!</definedName>
    <definedName name="_GOTO_BT49__R__" localSheetId="5">#REF!</definedName>
    <definedName name="_GOTO_BT49__R__" localSheetId="6">#REF!</definedName>
    <definedName name="_GOTO_BT49__R__" localSheetId="7">#REF!</definedName>
    <definedName name="_GOTO_BT49__R__">#REF!</definedName>
    <definedName name="_GOTO_CF11__?__" localSheetId="3">#REF!</definedName>
    <definedName name="_GOTO_CF11__?__" localSheetId="4">#REF!</definedName>
    <definedName name="_GOTO_CF11__?__" localSheetId="5">#REF!</definedName>
    <definedName name="_GOTO_CF11__?__" localSheetId="6">#REF!</definedName>
    <definedName name="_GOTO_CF11__?__" localSheetId="7">#REF!</definedName>
    <definedName name="_GOTO_CF11__?__">#REF!</definedName>
    <definedName name="_GOTO_EO75__WEK" localSheetId="3">#REF!</definedName>
    <definedName name="_GOTO_EO75__WEK" localSheetId="4">#REF!</definedName>
    <definedName name="_GOTO_EO75__WEK" localSheetId="5">#REF!</definedName>
    <definedName name="_GOTO_EO75__WEK" localSheetId="6">#REF!</definedName>
    <definedName name="_GOTO_EO75__WEK" localSheetId="7">#REF!</definedName>
    <definedName name="_GOTO_EO75__WEK">#REF!</definedName>
    <definedName name="_GOTO_EP82__PEA" localSheetId="3">#REF!</definedName>
    <definedName name="_GOTO_EP82__PEA" localSheetId="4">#REF!</definedName>
    <definedName name="_GOTO_EP82__PEA" localSheetId="5">#REF!</definedName>
    <definedName name="_GOTO_EP82__PEA" localSheetId="6">#REF!</definedName>
    <definedName name="_GOTO_EP82__PEA" localSheetId="7">#REF!</definedName>
    <definedName name="_GOTO_EP82__PEA">#REF!</definedName>
    <definedName name="_GOTO_EP86__PER" localSheetId="3">#REF!</definedName>
    <definedName name="_GOTO_EP86__PER" localSheetId="4">#REF!</definedName>
    <definedName name="_GOTO_EP86__PER" localSheetId="5">#REF!</definedName>
    <definedName name="_GOTO_EP86__PER" localSheetId="6">#REF!</definedName>
    <definedName name="_GOTO_EP86__PER" localSheetId="7">#REF!</definedName>
    <definedName name="_GOTO_EP86__PER">#REF!</definedName>
    <definedName name="_GOTO_FO112__RV" localSheetId="3">#REF!</definedName>
    <definedName name="_GOTO_FO112__RV" localSheetId="4">#REF!</definedName>
    <definedName name="_GOTO_FO112__RV" localSheetId="5">#REF!</definedName>
    <definedName name="_GOTO_FO112__RV" localSheetId="6">#REF!</definedName>
    <definedName name="_GOTO_FO112__RV" localSheetId="7">#REF!</definedName>
    <definedName name="_GOTO_FO112__RV">#REF!</definedName>
    <definedName name="_GOTO_FO56__RV_" localSheetId="3">#REF!</definedName>
    <definedName name="_GOTO_FO56__RV_" localSheetId="4">#REF!</definedName>
    <definedName name="_GOTO_FO56__RV_" localSheetId="5">#REF!</definedName>
    <definedName name="_GOTO_FO56__RV_" localSheetId="6">#REF!</definedName>
    <definedName name="_GOTO_FO56__RV_" localSheetId="7">#REF!</definedName>
    <definedName name="_GOTO_FO56__RV_">#REF!</definedName>
    <definedName name="_HOME__GOTO_M14" localSheetId="3">#REF!</definedName>
    <definedName name="_HOME__GOTO_M14" localSheetId="4">#REF!</definedName>
    <definedName name="_HOME__GOTO_M14" localSheetId="5">#REF!</definedName>
    <definedName name="_HOME__GOTO_M14" localSheetId="6">#REF!</definedName>
    <definedName name="_HOME__GOTO_M14" localSheetId="7">#REF!</definedName>
    <definedName name="_HOME__GOTO_M14">#REF!</definedName>
    <definedName name="_Order1" hidden="1">255</definedName>
    <definedName name="_PLF__R__R___ES" localSheetId="0">#REF!</definedName>
    <definedName name="_PLF__R__R___ES" localSheetId="3">#REF!</definedName>
    <definedName name="_PLF__R__R___ES" localSheetId="4">#REF!</definedName>
    <definedName name="_PLF__R__R___ES" localSheetId="5">#REF!</definedName>
    <definedName name="_PLF__R__R___ES" localSheetId="6">#REF!</definedName>
    <definedName name="_PLF__R__R___ES" localSheetId="7">#REF!</definedName>
    <definedName name="_PLF__R__R___ES">#REF!</definedName>
    <definedName name="_RV_DOWN_6__LEF" localSheetId="3">#REF!</definedName>
    <definedName name="_RV_DOWN_6__LEF" localSheetId="4">#REF!</definedName>
    <definedName name="_RV_DOWN_6__LEF" localSheetId="5">#REF!</definedName>
    <definedName name="_RV_DOWN_6__LEF" localSheetId="6">#REF!</definedName>
    <definedName name="_RV_DOWN_6__LEF" localSheetId="7">#REF!</definedName>
    <definedName name="_RV_DOWN_6__LEF">#REF!</definedName>
    <definedName name="_SUM_DI14..DI21" localSheetId="0">#REF!</definedName>
    <definedName name="_SUM_DI14..DI21" localSheetId="3">#REF!</definedName>
    <definedName name="_SUM_DI14..DI21" localSheetId="4">#REF!</definedName>
    <definedName name="_SUM_DI14..DI21" localSheetId="5">#REF!</definedName>
    <definedName name="_SUM_DI14..DI21" localSheetId="6">#REF!</definedName>
    <definedName name="_SUM_DI14..DI21" localSheetId="7">#REF!</definedName>
    <definedName name="_SUM_DI14..DI21">#REF!</definedName>
    <definedName name="_SUM_DI22..DI29" localSheetId="3">#REF!</definedName>
    <definedName name="_SUM_DI22..DI29" localSheetId="4">#REF!</definedName>
    <definedName name="_SUM_DI22..DI29" localSheetId="5">#REF!</definedName>
    <definedName name="_SUM_DI22..DI29" localSheetId="6">#REF!</definedName>
    <definedName name="_SUM_DI22..DI29" localSheetId="7">#REF!</definedName>
    <definedName name="_SUM_DI22..DI29">#REF!</definedName>
    <definedName name="_U__END__U__D__" localSheetId="3">#REF!</definedName>
    <definedName name="_U__END__U__D__" localSheetId="4">#REF!</definedName>
    <definedName name="_U__END__U__D__" localSheetId="5">#REF!</definedName>
    <definedName name="_U__END__U__D__" localSheetId="6">#REF!</definedName>
    <definedName name="_U__END__U__D__" localSheetId="7">#REF!</definedName>
    <definedName name="_U__END__U__D__">#REF!</definedName>
    <definedName name="_U__U__END__U__" localSheetId="3">#REF!</definedName>
    <definedName name="_U__U__END__U__" localSheetId="4">#REF!</definedName>
    <definedName name="_U__U__END__U__" localSheetId="5">#REF!</definedName>
    <definedName name="_U__U__END__U__" localSheetId="6">#REF!</definedName>
    <definedName name="_U__U__END__U__" localSheetId="7">#REF!</definedName>
    <definedName name="_U__U__END__U__">#REF!</definedName>
    <definedName name="_U__U__U__U__U_" localSheetId="3">#REF!</definedName>
    <definedName name="_U__U__U__U__U_" localSheetId="4">#REF!</definedName>
    <definedName name="_U__U__U__U__U_" localSheetId="5">#REF!</definedName>
    <definedName name="_U__U__U__U__U_" localSheetId="6">#REF!</definedName>
    <definedName name="_U__U__U__U__U_" localSheetId="7">#REF!</definedName>
    <definedName name="_U__U__U__U__U_">#REF!</definedName>
    <definedName name="_WGPD_GOTO_CO10" localSheetId="3">#REF!</definedName>
    <definedName name="_WGPD_GOTO_CO10" localSheetId="4">#REF!</definedName>
    <definedName name="_WGPD_GOTO_CO10" localSheetId="5">#REF!</definedName>
    <definedName name="_WGPD_GOTO_CO10" localSheetId="6">#REF!</definedName>
    <definedName name="_WGPD_GOTO_CO10" localSheetId="7">#REF!</definedName>
    <definedName name="_WGPD_GOTO_CO10">#REF!</definedName>
    <definedName name="A" localSheetId="3">#REF!</definedName>
    <definedName name="A" localSheetId="4">#REF!</definedName>
    <definedName name="A" localSheetId="5">#REF!</definedName>
    <definedName name="A" localSheetId="6">#REF!</definedName>
    <definedName name="A" localSheetId="7">#REF!</definedName>
    <definedName name="A">#REF!</definedName>
    <definedName name="AA" localSheetId="3">#REF!</definedName>
    <definedName name="AA" localSheetId="4">#REF!</definedName>
    <definedName name="AA" localSheetId="5">#REF!</definedName>
    <definedName name="AA" localSheetId="6">#REF!</definedName>
    <definedName name="AA" localSheetId="7">#REF!</definedName>
    <definedName name="AA">#REF!</definedName>
    <definedName name="AV" localSheetId="0">#REF!</definedName>
    <definedName name="AV" localSheetId="3">#REF!</definedName>
    <definedName name="AV" localSheetId="4">#REF!</definedName>
    <definedName name="AV" localSheetId="5">#REF!</definedName>
    <definedName name="AV" localSheetId="6">#REF!</definedName>
    <definedName name="AV" localSheetId="7">#REF!</definedName>
    <definedName name="AV">#REF!</definedName>
    <definedName name="CM10_C_RIGHT___" localSheetId="0">#REF!</definedName>
    <definedName name="CM10_C_RIGHT___" localSheetId="3">#REF!</definedName>
    <definedName name="CM10_C_RIGHT___" localSheetId="4">#REF!</definedName>
    <definedName name="CM10_C_RIGHT___" localSheetId="5">#REF!</definedName>
    <definedName name="CM10_C_RIGHT___" localSheetId="6">#REF!</definedName>
    <definedName name="CM10_C_RIGHT___" localSheetId="7">#REF!</definedName>
    <definedName name="CM10_C_RIGHT___">#REF!</definedName>
    <definedName name="CV" localSheetId="3">#REF!</definedName>
    <definedName name="CV" localSheetId="4">#REF!</definedName>
    <definedName name="CV" localSheetId="5">#REF!</definedName>
    <definedName name="CV" localSheetId="6">#REF!</definedName>
    <definedName name="CV" localSheetId="7">#REF!</definedName>
    <definedName name="CV">#REF!</definedName>
    <definedName name="D">#N/A</definedName>
    <definedName name="_xlnm.Database" localSheetId="0">#REF!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#REF!</definedName>
    <definedName name="E_315MVA_Addl_Page1" localSheetId="0">#REF!</definedName>
    <definedName name="E_315MVA_Addl_Page1" localSheetId="3">#REF!</definedName>
    <definedName name="E_315MVA_Addl_Page1" localSheetId="4">#REF!</definedName>
    <definedName name="E_315MVA_Addl_Page1" localSheetId="5">#REF!</definedName>
    <definedName name="E_315MVA_Addl_Page1" localSheetId="6">#REF!</definedName>
    <definedName name="E_315MVA_Addl_Page1" localSheetId="7">#REF!</definedName>
    <definedName name="E_315MVA_Addl_Page1">#REF!</definedName>
    <definedName name="E_315MVA_Addl_Page2" localSheetId="3">#REF!</definedName>
    <definedName name="E_315MVA_Addl_Page2" localSheetId="4">#REF!</definedName>
    <definedName name="E_315MVA_Addl_Page2" localSheetId="5">#REF!</definedName>
    <definedName name="E_315MVA_Addl_Page2" localSheetId="6">#REF!</definedName>
    <definedName name="E_315MVA_Addl_Page2" localSheetId="7">#REF!</definedName>
    <definedName name="E_315MVA_Addl_Page2">#REF!</definedName>
    <definedName name="EscAGExp" localSheetId="0">#REF!</definedName>
    <definedName name="EscAGExp" localSheetId="3">#REF!</definedName>
    <definedName name="EscAGExp" localSheetId="4">#REF!</definedName>
    <definedName name="EscAGExp" localSheetId="5">#REF!</definedName>
    <definedName name="EscAGExp" localSheetId="6">#REF!</definedName>
    <definedName name="EscAGExp" localSheetId="7">#REF!</definedName>
    <definedName name="EscAGExp">#REF!</definedName>
    <definedName name="EscCoal" localSheetId="3">#REF!</definedName>
    <definedName name="EscCoal" localSheetId="4">#REF!</definedName>
    <definedName name="EscCoal" localSheetId="5">#REF!</definedName>
    <definedName name="EscCoal" localSheetId="6">#REF!</definedName>
    <definedName name="EscCoal" localSheetId="7">#REF!</definedName>
    <definedName name="EscCoal">#REF!</definedName>
    <definedName name="EscDomGas" localSheetId="3">#REF!</definedName>
    <definedName name="EscDomGas" localSheetId="4">#REF!</definedName>
    <definedName name="EscDomGas" localSheetId="5">#REF!</definedName>
    <definedName name="EscDomGas" localSheetId="6">#REF!</definedName>
    <definedName name="EscDomGas" localSheetId="7">#REF!</definedName>
    <definedName name="EscDomGas">#REF!</definedName>
    <definedName name="EscEmpExp" localSheetId="3">#REF!</definedName>
    <definedName name="EscEmpExp" localSheetId="4">#REF!</definedName>
    <definedName name="EscEmpExp" localSheetId="5">#REF!</definedName>
    <definedName name="EscEmpExp" localSheetId="6">#REF!</definedName>
    <definedName name="EscEmpExp" localSheetId="7">#REF!</definedName>
    <definedName name="EscEmpExp">#REF!</definedName>
    <definedName name="EscLNGas" localSheetId="3">#REF!</definedName>
    <definedName name="EscLNGas" localSheetId="4">#REF!</definedName>
    <definedName name="EscLNGas" localSheetId="5">#REF!</definedName>
    <definedName name="EscLNGas" localSheetId="6">#REF!</definedName>
    <definedName name="EscLNGas" localSheetId="7">#REF!</definedName>
    <definedName name="EscLNGas">#REF!</definedName>
    <definedName name="EscOil" localSheetId="3">#REF!</definedName>
    <definedName name="EscOil" localSheetId="4">#REF!</definedName>
    <definedName name="EscOil" localSheetId="5">#REF!</definedName>
    <definedName name="EscOil" localSheetId="6">#REF!</definedName>
    <definedName name="EscOil" localSheetId="7">#REF!</definedName>
    <definedName name="EscOil">#REF!</definedName>
    <definedName name="EscOtherIncome" localSheetId="3">#REF!</definedName>
    <definedName name="EscOtherIncome" localSheetId="4">#REF!</definedName>
    <definedName name="EscOtherIncome" localSheetId="5">#REF!</definedName>
    <definedName name="EscOtherIncome" localSheetId="6">#REF!</definedName>
    <definedName name="EscOtherIncome" localSheetId="7">#REF!</definedName>
    <definedName name="EscOtherIncome">#REF!</definedName>
    <definedName name="EscOtherVarCharge" localSheetId="3">#REF!</definedName>
    <definedName name="EscOtherVarCharge" localSheetId="4">#REF!</definedName>
    <definedName name="EscOtherVarCharge" localSheetId="5">#REF!</definedName>
    <definedName name="EscOtherVarCharge" localSheetId="6">#REF!</definedName>
    <definedName name="EscOtherVarCharge" localSheetId="7">#REF!</definedName>
    <definedName name="EscOtherVarCharge">#REF!</definedName>
    <definedName name="EscRMExp" localSheetId="3">#REF!</definedName>
    <definedName name="EscRMExp" localSheetId="4">#REF!</definedName>
    <definedName name="EscRMExp" localSheetId="5">#REF!</definedName>
    <definedName name="EscRMExp" localSheetId="6">#REF!</definedName>
    <definedName name="EscRMExp" localSheetId="7">#REF!</definedName>
    <definedName name="EscRMExp">#REF!</definedName>
    <definedName name="FAX" localSheetId="3">#REF!</definedName>
    <definedName name="FAX" localSheetId="4">#REF!</definedName>
    <definedName name="FAX" localSheetId="5">#REF!</definedName>
    <definedName name="FAX" localSheetId="6">#REF!</definedName>
    <definedName name="FAX" localSheetId="7">#REF!</definedName>
    <definedName name="FAX">#REF!</definedName>
    <definedName name="Fuel_Exp_CY" localSheetId="0">#REF!</definedName>
    <definedName name="Fuel_Exp_CY" localSheetId="3">#REF!</definedName>
    <definedName name="Fuel_Exp_CY" localSheetId="4">#REF!</definedName>
    <definedName name="Fuel_Exp_CY" localSheetId="5">#REF!</definedName>
    <definedName name="Fuel_Exp_CY" localSheetId="6">#REF!</definedName>
    <definedName name="Fuel_Exp_CY" localSheetId="7">#REF!</definedName>
    <definedName name="Fuel_Exp_CY">#REF!</definedName>
    <definedName name="Fuel_Exp_EY" localSheetId="3">#REF!</definedName>
    <definedName name="Fuel_Exp_EY" localSheetId="4">#REF!</definedName>
    <definedName name="Fuel_Exp_EY" localSheetId="5">#REF!</definedName>
    <definedName name="Fuel_Exp_EY" localSheetId="6">#REF!</definedName>
    <definedName name="Fuel_Exp_EY" localSheetId="7">#REF!</definedName>
    <definedName name="Fuel_Exp_EY">#REF!</definedName>
    <definedName name="Fuel_Exp_PY" localSheetId="3">#REF!</definedName>
    <definedName name="Fuel_Exp_PY" localSheetId="4">#REF!</definedName>
    <definedName name="Fuel_Exp_PY" localSheetId="5">#REF!</definedName>
    <definedName name="Fuel_Exp_PY" localSheetId="6">#REF!</definedName>
    <definedName name="Fuel_Exp_PY" localSheetId="7">#REF!</definedName>
    <definedName name="Fuel_Exp_PY">#REF!</definedName>
    <definedName name="GR" localSheetId="3">#REF!</definedName>
    <definedName name="GR" localSheetId="4">#REF!</definedName>
    <definedName name="GR" localSheetId="5">#REF!</definedName>
    <definedName name="GR" localSheetId="6">#REF!</definedName>
    <definedName name="GR" localSheetId="7">#REF!</definedName>
    <definedName name="GR">#REF!</definedName>
    <definedName name="IntRate12" localSheetId="0">#REF!</definedName>
    <definedName name="IntRate12" localSheetId="3">#REF!</definedName>
    <definedName name="IntRate12" localSheetId="4">#REF!</definedName>
    <definedName name="IntRate12" localSheetId="5">#REF!</definedName>
    <definedName name="IntRate12" localSheetId="6">#REF!</definedName>
    <definedName name="IntRate12" localSheetId="7">#REF!</definedName>
    <definedName name="IntRate12">#REF!</definedName>
    <definedName name="IntRate13" localSheetId="3">#REF!</definedName>
    <definedName name="IntRate13" localSheetId="4">#REF!</definedName>
    <definedName name="IntRate13" localSheetId="5">#REF!</definedName>
    <definedName name="IntRate13" localSheetId="6">#REF!</definedName>
    <definedName name="IntRate13" localSheetId="7">#REF!</definedName>
    <definedName name="IntRate13">#REF!</definedName>
    <definedName name="IntRateWC11" localSheetId="3">#REF!</definedName>
    <definedName name="IntRateWC11" localSheetId="4">#REF!</definedName>
    <definedName name="IntRateWC11" localSheetId="5">#REF!</definedName>
    <definedName name="IntRateWC11" localSheetId="6">#REF!</definedName>
    <definedName name="IntRateWC11" localSheetId="7">#REF!</definedName>
    <definedName name="IntRateWC11">#REF!</definedName>
    <definedName name="IntRateWC12" localSheetId="3">#REF!</definedName>
    <definedName name="IntRateWC12" localSheetId="4">#REF!</definedName>
    <definedName name="IntRateWC12" localSheetId="5">#REF!</definedName>
    <definedName name="IntRateWC12" localSheetId="6">#REF!</definedName>
    <definedName name="IntRateWC12" localSheetId="7">#REF!</definedName>
    <definedName name="IntRateWC12">#REF!</definedName>
    <definedName name="IntRateWC13" localSheetId="3">#REF!</definedName>
    <definedName name="IntRateWC13" localSheetId="4">#REF!</definedName>
    <definedName name="IntRateWC13" localSheetId="5">#REF!</definedName>
    <definedName name="IntRateWC13" localSheetId="6">#REF!</definedName>
    <definedName name="IntRateWC13" localSheetId="7">#REF!</definedName>
    <definedName name="IntRateWC13">#REF!</definedName>
    <definedName name="Intt_Charge_cY" localSheetId="0">#REF!,#REF!</definedName>
    <definedName name="Intt_Charge_cY" localSheetId="3">#REF!,#REF!</definedName>
    <definedName name="Intt_Charge_cY" localSheetId="4">#REF!,#REF!</definedName>
    <definedName name="Intt_Charge_cY" localSheetId="5">#REF!,#REF!</definedName>
    <definedName name="Intt_Charge_cY" localSheetId="6">#REF!,#REF!</definedName>
    <definedName name="Intt_Charge_cY" localSheetId="7">#REF!,#REF!</definedName>
    <definedName name="Intt_Charge_cY">#REF!,#REF!</definedName>
    <definedName name="Intt_Charge_eY" localSheetId="0">#REF!,#REF!</definedName>
    <definedName name="Intt_Charge_eY" localSheetId="3">#REF!,#REF!</definedName>
    <definedName name="Intt_Charge_eY" localSheetId="4">#REF!,#REF!</definedName>
    <definedName name="Intt_Charge_eY" localSheetId="5">#REF!,#REF!</definedName>
    <definedName name="Intt_Charge_eY" localSheetId="6">#REF!,#REF!</definedName>
    <definedName name="Intt_Charge_eY" localSheetId="7">#REF!,#REF!</definedName>
    <definedName name="Intt_Charge_eY">#REF!,#REF!</definedName>
    <definedName name="Intt_Charge_PY" localSheetId="0">#REF!,#REF!</definedName>
    <definedName name="Intt_Charge_PY" localSheetId="3">#REF!,#REF!</definedName>
    <definedName name="Intt_Charge_PY" localSheetId="4">#REF!,#REF!</definedName>
    <definedName name="Intt_Charge_PY" localSheetId="5">#REF!,#REF!</definedName>
    <definedName name="Intt_Charge_PY" localSheetId="6">#REF!,#REF!</definedName>
    <definedName name="Intt_Charge_PY" localSheetId="7">#REF!,#REF!</definedName>
    <definedName name="Intt_Charge_PY">#REF!,#REF!</definedName>
    <definedName name="IsCircular" localSheetId="0">#REF!</definedName>
    <definedName name="IsCircular" localSheetId="3">#REF!</definedName>
    <definedName name="IsCircular" localSheetId="4">#REF!</definedName>
    <definedName name="IsCircular" localSheetId="5">#REF!</definedName>
    <definedName name="IsCircular" localSheetId="6">#REF!</definedName>
    <definedName name="IsCircular" localSheetId="7">#REF!</definedName>
    <definedName name="IsCircular">#REF!</definedName>
    <definedName name="K2000_">#N/A</definedName>
    <definedName name="LTR_M_NEW" localSheetId="0">#REF!</definedName>
    <definedName name="LTR_M_NEW" localSheetId="3">#REF!</definedName>
    <definedName name="LTR_M_NEW" localSheetId="4">#REF!</definedName>
    <definedName name="LTR_M_NEW" localSheetId="5">#REF!</definedName>
    <definedName name="LTR_M_NEW" localSheetId="6">#REF!</definedName>
    <definedName name="LTR_M_NEW" localSheetId="7">#REF!</definedName>
    <definedName name="LTR_M_NEW">#REF!</definedName>
    <definedName name="LTR_MOR" localSheetId="3">#REF!</definedName>
    <definedName name="LTR_MOR" localSheetId="4">#REF!</definedName>
    <definedName name="LTR_MOR" localSheetId="5">#REF!</definedName>
    <definedName name="LTR_MOR" localSheetId="6">#REF!</definedName>
    <definedName name="LTR_MOR" localSheetId="7">#REF!</definedName>
    <definedName name="LTR_MOR">#REF!</definedName>
    <definedName name="O" localSheetId="0">#REF!</definedName>
    <definedName name="O" localSheetId="3">#REF!</definedName>
    <definedName name="O" localSheetId="4">#REF!</definedName>
    <definedName name="O" localSheetId="5">#REF!</definedName>
    <definedName name="O" localSheetId="6">#REF!</definedName>
    <definedName name="O" localSheetId="7">#REF!</definedName>
    <definedName name="O">#REF!</definedName>
    <definedName name="p" localSheetId="3">#REF!</definedName>
    <definedName name="p" localSheetId="4">#REF!</definedName>
    <definedName name="p" localSheetId="5">#REF!</definedName>
    <definedName name="p" localSheetId="6">#REF!</definedName>
    <definedName name="p" localSheetId="7">#REF!</definedName>
    <definedName name="p">#REF!</definedName>
    <definedName name="PAGE1" localSheetId="3">#REF!</definedName>
    <definedName name="PAGE1" localSheetId="4">#REF!</definedName>
    <definedName name="PAGE1" localSheetId="5">#REF!</definedName>
    <definedName name="PAGE1" localSheetId="6">#REF!</definedName>
    <definedName name="PAGE1" localSheetId="7">#REF!</definedName>
    <definedName name="PAGE1">#REF!</definedName>
    <definedName name="page10" localSheetId="3">#REF!</definedName>
    <definedName name="page10" localSheetId="4">#REF!</definedName>
    <definedName name="page10" localSheetId="5">#REF!</definedName>
    <definedName name="page10" localSheetId="6">#REF!</definedName>
    <definedName name="page10" localSheetId="7">#REF!</definedName>
    <definedName name="page10">#REF!</definedName>
    <definedName name="PAGE10_6" localSheetId="3">#REF!</definedName>
    <definedName name="PAGE10_6" localSheetId="4">#REF!</definedName>
    <definedName name="PAGE10_6" localSheetId="5">#REF!</definedName>
    <definedName name="PAGE10_6" localSheetId="6">#REF!</definedName>
    <definedName name="PAGE10_6" localSheetId="7">#REF!</definedName>
    <definedName name="PAGE10_6">#REF!</definedName>
    <definedName name="PAGE11_6" localSheetId="3">#REF!</definedName>
    <definedName name="PAGE11_6" localSheetId="4">#REF!</definedName>
    <definedName name="PAGE11_6" localSheetId="5">#REF!</definedName>
    <definedName name="PAGE11_6" localSheetId="6">#REF!</definedName>
    <definedName name="PAGE11_6" localSheetId="7">#REF!</definedName>
    <definedName name="PAGE11_6">#REF!</definedName>
    <definedName name="PAGE12_6" localSheetId="3">#REF!</definedName>
    <definedName name="PAGE12_6" localSheetId="4">#REF!</definedName>
    <definedName name="PAGE12_6" localSheetId="5">#REF!</definedName>
    <definedName name="PAGE12_6" localSheetId="6">#REF!</definedName>
    <definedName name="PAGE12_6" localSheetId="7">#REF!</definedName>
    <definedName name="PAGE12_6">#REF!</definedName>
    <definedName name="PAGE14" localSheetId="3">#REF!</definedName>
    <definedName name="PAGE14" localSheetId="4">#REF!</definedName>
    <definedName name="PAGE14" localSheetId="5">#REF!</definedName>
    <definedName name="PAGE14" localSheetId="6">#REF!</definedName>
    <definedName name="PAGE14" localSheetId="7">#REF!</definedName>
    <definedName name="PAGE14">#REF!</definedName>
    <definedName name="PAGE15" localSheetId="3">#REF!</definedName>
    <definedName name="PAGE15" localSheetId="4">#REF!</definedName>
    <definedName name="PAGE15" localSheetId="5">#REF!</definedName>
    <definedName name="PAGE15" localSheetId="6">#REF!</definedName>
    <definedName name="PAGE15" localSheetId="7">#REF!</definedName>
    <definedName name="PAGE15">#REF!</definedName>
    <definedName name="PAGE16" localSheetId="3">#REF!</definedName>
    <definedName name="PAGE16" localSheetId="4">#REF!</definedName>
    <definedName name="PAGE16" localSheetId="5">#REF!</definedName>
    <definedName name="PAGE16" localSheetId="6">#REF!</definedName>
    <definedName name="PAGE16" localSheetId="7">#REF!</definedName>
    <definedName name="PAGE16">#REF!</definedName>
    <definedName name="PAGE17" localSheetId="3">#REF!</definedName>
    <definedName name="PAGE17" localSheetId="4">#REF!</definedName>
    <definedName name="PAGE17" localSheetId="5">#REF!</definedName>
    <definedName name="PAGE17" localSheetId="6">#REF!</definedName>
    <definedName name="PAGE17" localSheetId="7">#REF!</definedName>
    <definedName name="PAGE17">#REF!</definedName>
    <definedName name="PAGE18" localSheetId="3">#REF!</definedName>
    <definedName name="PAGE18" localSheetId="4">#REF!</definedName>
    <definedName name="PAGE18" localSheetId="5">#REF!</definedName>
    <definedName name="PAGE18" localSheetId="6">#REF!</definedName>
    <definedName name="PAGE18" localSheetId="7">#REF!</definedName>
    <definedName name="PAGE18">#REF!</definedName>
    <definedName name="PAGE19" localSheetId="3">#REF!</definedName>
    <definedName name="PAGE19" localSheetId="4">#REF!</definedName>
    <definedName name="PAGE19" localSheetId="5">#REF!</definedName>
    <definedName name="PAGE19" localSheetId="6">#REF!</definedName>
    <definedName name="PAGE19" localSheetId="7">#REF!</definedName>
    <definedName name="PAGE19">#REF!</definedName>
    <definedName name="PAGE2" localSheetId="3">#REF!</definedName>
    <definedName name="PAGE2" localSheetId="4">#REF!</definedName>
    <definedName name="PAGE2" localSheetId="5">#REF!</definedName>
    <definedName name="PAGE2" localSheetId="6">#REF!</definedName>
    <definedName name="PAGE2" localSheetId="7">#REF!</definedName>
    <definedName name="PAGE2">#REF!</definedName>
    <definedName name="PAGE2_6" localSheetId="3">#REF!</definedName>
    <definedName name="PAGE2_6" localSheetId="4">#REF!</definedName>
    <definedName name="PAGE2_6" localSheetId="5">#REF!</definedName>
    <definedName name="PAGE2_6" localSheetId="6">#REF!</definedName>
    <definedName name="PAGE2_6" localSheetId="7">#REF!</definedName>
    <definedName name="PAGE2_6">#REF!</definedName>
    <definedName name="PAGE20" localSheetId="3">#REF!</definedName>
    <definedName name="PAGE20" localSheetId="4">#REF!</definedName>
    <definedName name="PAGE20" localSheetId="5">#REF!</definedName>
    <definedName name="PAGE20" localSheetId="6">#REF!</definedName>
    <definedName name="PAGE20" localSheetId="7">#REF!</definedName>
    <definedName name="PAGE20">#REF!</definedName>
    <definedName name="PAGE21" localSheetId="3">#REF!</definedName>
    <definedName name="PAGE21" localSheetId="4">#REF!</definedName>
    <definedName name="PAGE21" localSheetId="5">#REF!</definedName>
    <definedName name="PAGE21" localSheetId="6">#REF!</definedName>
    <definedName name="PAGE21" localSheetId="7">#REF!</definedName>
    <definedName name="PAGE21">#REF!</definedName>
    <definedName name="PAGE210" localSheetId="3">#REF!</definedName>
    <definedName name="PAGE210" localSheetId="4">#REF!</definedName>
    <definedName name="PAGE210" localSheetId="5">#REF!</definedName>
    <definedName name="PAGE210" localSheetId="6">#REF!</definedName>
    <definedName name="PAGE210" localSheetId="7">#REF!</definedName>
    <definedName name="PAGE210">#REF!</definedName>
    <definedName name="PAGE22" localSheetId="3">#REF!</definedName>
    <definedName name="PAGE22" localSheetId="4">#REF!</definedName>
    <definedName name="PAGE22" localSheetId="5">#REF!</definedName>
    <definedName name="PAGE22" localSheetId="6">#REF!</definedName>
    <definedName name="PAGE22" localSheetId="7">#REF!</definedName>
    <definedName name="PAGE22">#REF!</definedName>
    <definedName name="PAGE23" localSheetId="3">#REF!</definedName>
    <definedName name="PAGE23" localSheetId="4">#REF!</definedName>
    <definedName name="PAGE23" localSheetId="5">#REF!</definedName>
    <definedName name="PAGE23" localSheetId="6">#REF!</definedName>
    <definedName name="PAGE23" localSheetId="7">#REF!</definedName>
    <definedName name="PAGE23">#REF!</definedName>
    <definedName name="PAGE24" localSheetId="3">#REF!</definedName>
    <definedName name="PAGE24" localSheetId="4">#REF!</definedName>
    <definedName name="PAGE24" localSheetId="5">#REF!</definedName>
    <definedName name="PAGE24" localSheetId="6">#REF!</definedName>
    <definedName name="PAGE24" localSheetId="7">#REF!</definedName>
    <definedName name="PAGE24">#REF!</definedName>
    <definedName name="PAGE25" localSheetId="3">#REF!</definedName>
    <definedName name="PAGE25" localSheetId="4">#REF!</definedName>
    <definedName name="PAGE25" localSheetId="5">#REF!</definedName>
    <definedName name="PAGE25" localSheetId="6">#REF!</definedName>
    <definedName name="PAGE25" localSheetId="7">#REF!</definedName>
    <definedName name="PAGE25">#REF!</definedName>
    <definedName name="PAGE26" localSheetId="3">#REF!</definedName>
    <definedName name="PAGE26" localSheetId="4">#REF!</definedName>
    <definedName name="PAGE26" localSheetId="5">#REF!</definedName>
    <definedName name="PAGE26" localSheetId="6">#REF!</definedName>
    <definedName name="PAGE26" localSheetId="7">#REF!</definedName>
    <definedName name="PAGE26">#REF!</definedName>
    <definedName name="PAGE27" localSheetId="3">#REF!</definedName>
    <definedName name="PAGE27" localSheetId="4">#REF!</definedName>
    <definedName name="PAGE27" localSheetId="5">#REF!</definedName>
    <definedName name="PAGE27" localSheetId="6">#REF!</definedName>
    <definedName name="PAGE27" localSheetId="7">#REF!</definedName>
    <definedName name="PAGE27">#REF!</definedName>
    <definedName name="PAGE28" localSheetId="3">#REF!</definedName>
    <definedName name="PAGE28" localSheetId="4">#REF!</definedName>
    <definedName name="PAGE28" localSheetId="5">#REF!</definedName>
    <definedName name="PAGE28" localSheetId="6">#REF!</definedName>
    <definedName name="PAGE28" localSheetId="7">#REF!</definedName>
    <definedName name="PAGE28">#REF!</definedName>
    <definedName name="PAGE29" localSheetId="3">#REF!</definedName>
    <definedName name="PAGE29" localSheetId="4">#REF!</definedName>
    <definedName name="PAGE29" localSheetId="5">#REF!</definedName>
    <definedName name="PAGE29" localSheetId="6">#REF!</definedName>
    <definedName name="PAGE29" localSheetId="7">#REF!</definedName>
    <definedName name="PAGE29">#REF!</definedName>
    <definedName name="PAGE3_6" localSheetId="3">#REF!</definedName>
    <definedName name="PAGE3_6" localSheetId="4">#REF!</definedName>
    <definedName name="PAGE3_6" localSheetId="5">#REF!</definedName>
    <definedName name="PAGE3_6" localSheetId="6">#REF!</definedName>
    <definedName name="PAGE3_6" localSheetId="7">#REF!</definedName>
    <definedName name="PAGE3_6">#REF!</definedName>
    <definedName name="page34" localSheetId="3">#REF!</definedName>
    <definedName name="page34" localSheetId="4">#REF!</definedName>
    <definedName name="page34" localSheetId="5">#REF!</definedName>
    <definedName name="page34" localSheetId="6">#REF!</definedName>
    <definedName name="page34" localSheetId="7">#REF!</definedName>
    <definedName name="page34">#REF!</definedName>
    <definedName name="Page35" localSheetId="3">#REF!</definedName>
    <definedName name="Page35" localSheetId="4">#REF!</definedName>
    <definedName name="Page35" localSheetId="5">#REF!</definedName>
    <definedName name="Page35" localSheetId="6">#REF!</definedName>
    <definedName name="Page35" localSheetId="7">#REF!</definedName>
    <definedName name="Page35">#REF!</definedName>
    <definedName name="PAGE4_6" localSheetId="3">#REF!</definedName>
    <definedName name="PAGE4_6" localSheetId="4">#REF!</definedName>
    <definedName name="PAGE4_6" localSheetId="5">#REF!</definedName>
    <definedName name="PAGE4_6" localSheetId="6">#REF!</definedName>
    <definedName name="PAGE4_6" localSheetId="7">#REF!</definedName>
    <definedName name="PAGE4_6">#REF!</definedName>
    <definedName name="PAGE5_6" localSheetId="3">#REF!</definedName>
    <definedName name="PAGE5_6" localSheetId="4">#REF!</definedName>
    <definedName name="PAGE5_6" localSheetId="5">#REF!</definedName>
    <definedName name="PAGE5_6" localSheetId="6">#REF!</definedName>
    <definedName name="PAGE5_6" localSheetId="7">#REF!</definedName>
    <definedName name="PAGE5_6">#REF!</definedName>
    <definedName name="page50" localSheetId="3">#REF!</definedName>
    <definedName name="page50" localSheetId="4">#REF!</definedName>
    <definedName name="page50" localSheetId="5">#REF!</definedName>
    <definedName name="page50" localSheetId="6">#REF!</definedName>
    <definedName name="page50" localSheetId="7">#REF!</definedName>
    <definedName name="page50">#REF!</definedName>
    <definedName name="page51" localSheetId="3">#REF!</definedName>
    <definedName name="page51" localSheetId="4">#REF!</definedName>
    <definedName name="page51" localSheetId="5">#REF!</definedName>
    <definedName name="page51" localSheetId="6">#REF!</definedName>
    <definedName name="page51" localSheetId="7">#REF!</definedName>
    <definedName name="page51">#REF!</definedName>
    <definedName name="page52" localSheetId="3">#REF!</definedName>
    <definedName name="page52" localSheetId="4">#REF!</definedName>
    <definedName name="page52" localSheetId="5">#REF!</definedName>
    <definedName name="page52" localSheetId="6">#REF!</definedName>
    <definedName name="page52" localSheetId="7">#REF!</definedName>
    <definedName name="page52">#REF!</definedName>
    <definedName name="PAGE6" localSheetId="3">#REF!</definedName>
    <definedName name="PAGE6" localSheetId="4">#REF!</definedName>
    <definedName name="PAGE6" localSheetId="5">#REF!</definedName>
    <definedName name="PAGE6" localSheetId="6">#REF!</definedName>
    <definedName name="PAGE6" localSheetId="7">#REF!</definedName>
    <definedName name="PAGE6">#REF!</definedName>
    <definedName name="PAGE6_6" localSheetId="3">#REF!</definedName>
    <definedName name="PAGE6_6" localSheetId="4">#REF!</definedName>
    <definedName name="PAGE6_6" localSheetId="5">#REF!</definedName>
    <definedName name="PAGE6_6" localSheetId="6">#REF!</definedName>
    <definedName name="PAGE6_6" localSheetId="7">#REF!</definedName>
    <definedName name="PAGE6_6">#REF!</definedName>
    <definedName name="PAGE7" localSheetId="3">#REF!</definedName>
    <definedName name="PAGE7" localSheetId="4">#REF!</definedName>
    <definedName name="PAGE7" localSheetId="5">#REF!</definedName>
    <definedName name="PAGE7" localSheetId="6">#REF!</definedName>
    <definedName name="PAGE7" localSheetId="7">#REF!</definedName>
    <definedName name="PAGE7">#REF!</definedName>
    <definedName name="PAGE7_6" localSheetId="3">#REF!</definedName>
    <definedName name="PAGE7_6" localSheetId="4">#REF!</definedName>
    <definedName name="PAGE7_6" localSheetId="5">#REF!</definedName>
    <definedName name="PAGE7_6" localSheetId="6">#REF!</definedName>
    <definedName name="PAGE7_6" localSheetId="7">#REF!</definedName>
    <definedName name="PAGE7_6">#REF!</definedName>
    <definedName name="PAGE8" localSheetId="3">#REF!</definedName>
    <definedName name="PAGE8" localSheetId="4">#REF!</definedName>
    <definedName name="PAGE8" localSheetId="5">#REF!</definedName>
    <definedName name="PAGE8" localSheetId="6">#REF!</definedName>
    <definedName name="PAGE8" localSheetId="7">#REF!</definedName>
    <definedName name="PAGE8">#REF!</definedName>
    <definedName name="PAGE8_6U1A" localSheetId="3">#REF!</definedName>
    <definedName name="PAGE8_6U1A" localSheetId="4">#REF!</definedName>
    <definedName name="PAGE8_6U1A" localSheetId="5">#REF!</definedName>
    <definedName name="PAGE8_6U1A" localSheetId="6">#REF!</definedName>
    <definedName name="PAGE8_6U1A" localSheetId="7">#REF!</definedName>
    <definedName name="PAGE8_6U1A">#REF!</definedName>
    <definedName name="PAGE8_6U1B" localSheetId="3">#REF!</definedName>
    <definedName name="PAGE8_6U1B" localSheetId="4">#REF!</definedName>
    <definedName name="PAGE8_6U1B" localSheetId="5">#REF!</definedName>
    <definedName name="PAGE8_6U1B" localSheetId="6">#REF!</definedName>
    <definedName name="PAGE8_6U1B" localSheetId="7">#REF!</definedName>
    <definedName name="PAGE8_6U1B">#REF!</definedName>
    <definedName name="PAGE8_6U2A" localSheetId="3">#REF!</definedName>
    <definedName name="PAGE8_6U2A" localSheetId="4">#REF!</definedName>
    <definedName name="PAGE8_6U2A" localSheetId="5">#REF!</definedName>
    <definedName name="PAGE8_6U2A" localSheetId="6">#REF!</definedName>
    <definedName name="PAGE8_6U2A" localSheetId="7">#REF!</definedName>
    <definedName name="PAGE8_6U2A">#REF!</definedName>
    <definedName name="PAGE8_6U2B" localSheetId="3">#REF!</definedName>
    <definedName name="PAGE8_6U2B" localSheetId="4">#REF!</definedName>
    <definedName name="PAGE8_6U2B" localSheetId="5">#REF!</definedName>
    <definedName name="PAGE8_6U2B" localSheetId="6">#REF!</definedName>
    <definedName name="PAGE8_6U2B" localSheetId="7">#REF!</definedName>
    <definedName name="PAGE8_6U2B">#REF!</definedName>
    <definedName name="PAGE8_6U3A" localSheetId="3">#REF!</definedName>
    <definedName name="PAGE8_6U3A" localSheetId="4">#REF!</definedName>
    <definedName name="PAGE8_6U3A" localSheetId="5">#REF!</definedName>
    <definedName name="PAGE8_6U3A" localSheetId="6">#REF!</definedName>
    <definedName name="PAGE8_6U3A" localSheetId="7">#REF!</definedName>
    <definedName name="PAGE8_6U3A">#REF!</definedName>
    <definedName name="PAGE8_6U3B" localSheetId="3">#REF!</definedName>
    <definedName name="PAGE8_6U3B" localSheetId="4">#REF!</definedName>
    <definedName name="PAGE8_6U3B" localSheetId="5">#REF!</definedName>
    <definedName name="PAGE8_6U3B" localSheetId="6">#REF!</definedName>
    <definedName name="PAGE8_6U3B" localSheetId="7">#REF!</definedName>
    <definedName name="PAGE8_6U3B">#REF!</definedName>
    <definedName name="PAGE9" localSheetId="3">#REF!</definedName>
    <definedName name="PAGE9" localSheetId="4">#REF!</definedName>
    <definedName name="PAGE9" localSheetId="5">#REF!</definedName>
    <definedName name="PAGE9" localSheetId="6">#REF!</definedName>
    <definedName name="PAGE9" localSheetId="7">#REF!</definedName>
    <definedName name="PAGE9">#REF!</definedName>
    <definedName name="PAGE9_6" localSheetId="3">#REF!</definedName>
    <definedName name="PAGE9_6" localSheetId="4">#REF!</definedName>
    <definedName name="PAGE9_6" localSheetId="5">#REF!</definedName>
    <definedName name="PAGE9_6" localSheetId="6">#REF!</definedName>
    <definedName name="PAGE9_6" localSheetId="7">#REF!</definedName>
    <definedName name="PAGE9_6">#REF!</definedName>
    <definedName name="Pop_Ratio" localSheetId="3">#REF!</definedName>
    <definedName name="Pop_Ratio" localSheetId="4">#REF!</definedName>
    <definedName name="Pop_Ratio" localSheetId="5">#REF!</definedName>
    <definedName name="Pop_Ratio" localSheetId="6">#REF!</definedName>
    <definedName name="Pop_Ratio" localSheetId="7">#REF!</definedName>
    <definedName name="Pop_Ratio">#REF!</definedName>
    <definedName name="PRF_1" localSheetId="3">#REF!</definedName>
    <definedName name="PRF_1" localSheetId="4">#REF!</definedName>
    <definedName name="PRF_1" localSheetId="5">#REF!</definedName>
    <definedName name="PRF_1" localSheetId="6">#REF!</definedName>
    <definedName name="PRF_1" localSheetId="7">#REF!</definedName>
    <definedName name="PRF_1">#REF!</definedName>
    <definedName name="PRF_2_P1" localSheetId="3">#REF!</definedName>
    <definedName name="PRF_2_P1" localSheetId="4">#REF!</definedName>
    <definedName name="PRF_2_P1" localSheetId="5">#REF!</definedName>
    <definedName name="PRF_2_P1" localSheetId="6">#REF!</definedName>
    <definedName name="PRF_2_P1" localSheetId="7">#REF!</definedName>
    <definedName name="PRF_2_P1">#REF!</definedName>
    <definedName name="PRF_2_P2" localSheetId="3">#REF!</definedName>
    <definedName name="PRF_2_P2" localSheetId="4">#REF!</definedName>
    <definedName name="PRF_2_P2" localSheetId="5">#REF!</definedName>
    <definedName name="PRF_2_P2" localSheetId="6">#REF!</definedName>
    <definedName name="PRF_2_P2" localSheetId="7">#REF!</definedName>
    <definedName name="PRF_2_P2">#REF!</definedName>
    <definedName name="PRF_3_AN1" localSheetId="3">#REF!</definedName>
    <definedName name="PRF_3_AN1" localSheetId="4">#REF!</definedName>
    <definedName name="PRF_3_AN1" localSheetId="5">#REF!</definedName>
    <definedName name="PRF_3_AN1" localSheetId="6">#REF!</definedName>
    <definedName name="PRF_3_AN1" localSheetId="7">#REF!</definedName>
    <definedName name="PRF_3_AN1">#REF!</definedName>
    <definedName name="PRF_3_AN2" localSheetId="3">#REF!</definedName>
    <definedName name="PRF_3_AN2" localSheetId="4">#REF!</definedName>
    <definedName name="PRF_3_AN2" localSheetId="5">#REF!</definedName>
    <definedName name="PRF_3_AN2" localSheetId="6">#REF!</definedName>
    <definedName name="PRF_3_AN2" localSheetId="7">#REF!</definedName>
    <definedName name="PRF_3_AN2">#REF!</definedName>
    <definedName name="PRF_3_AN3" localSheetId="3">#REF!</definedName>
    <definedName name="PRF_3_AN3" localSheetId="4">#REF!</definedName>
    <definedName name="PRF_3_AN3" localSheetId="5">#REF!</definedName>
    <definedName name="PRF_3_AN3" localSheetId="6">#REF!</definedName>
    <definedName name="PRF_3_AN3" localSheetId="7">#REF!</definedName>
    <definedName name="PRF_3_AN3">#REF!</definedName>
    <definedName name="_xlnm.Print_Area" localSheetId="3">#REF!</definedName>
    <definedName name="_xlnm.Print_Area" localSheetId="4">#REF!</definedName>
    <definedName name="_xlnm.Print_Area" localSheetId="5">#REF!</definedName>
    <definedName name="_xlnm.Print_Area" localSheetId="6">#REF!</definedName>
    <definedName name="_xlnm.Print_Area" localSheetId="7">#REF!</definedName>
    <definedName name="_xlnm.Print_Area">#REF!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#REF!</definedName>
    <definedName name="S" localSheetId="0">#REF!</definedName>
    <definedName name="S" localSheetId="3">#REF!</definedName>
    <definedName name="S" localSheetId="4">#REF!</definedName>
    <definedName name="S" localSheetId="5">#REF!</definedName>
    <definedName name="S" localSheetId="6">#REF!</definedName>
    <definedName name="S" localSheetId="7">#REF!</definedName>
    <definedName name="S">#REF!</definedName>
    <definedName name="SECOAL" localSheetId="3">#REF!</definedName>
    <definedName name="SECOAL" localSheetId="4">#REF!</definedName>
    <definedName name="SECOAL" localSheetId="5">#REF!</definedName>
    <definedName name="SECOAL" localSheetId="6">#REF!</definedName>
    <definedName name="SECOAL" localSheetId="7">#REF!</definedName>
    <definedName name="SECOAL">#REF!</definedName>
    <definedName name="SEOREP" localSheetId="3">#REF!</definedName>
    <definedName name="SEOREP" localSheetId="4">#REF!</definedName>
    <definedName name="SEOREP" localSheetId="5">#REF!</definedName>
    <definedName name="SEOREP" localSheetId="6">#REF!</definedName>
    <definedName name="SEOREP" localSheetId="7">#REF!</definedName>
    <definedName name="SEOREP">#REF!</definedName>
    <definedName name="SEREPORT" localSheetId="3">#REF!</definedName>
    <definedName name="SEREPORT" localSheetId="4">#REF!</definedName>
    <definedName name="SEREPORT" localSheetId="5">#REF!</definedName>
    <definedName name="SEREPORT" localSheetId="6">#REF!</definedName>
    <definedName name="SEREPORT" localSheetId="7">#REF!</definedName>
    <definedName name="SEREPORT">#REF!</definedName>
    <definedName name="t" localSheetId="0">#REF!</definedName>
    <definedName name="t" localSheetId="3">#REF!</definedName>
    <definedName name="t" localSheetId="4">#REF!</definedName>
    <definedName name="t" localSheetId="5">#REF!</definedName>
    <definedName name="t" localSheetId="6">#REF!</definedName>
    <definedName name="t" localSheetId="7">#REF!</definedName>
    <definedName name="t">#REF!</definedName>
    <definedName name="Taxrate12" localSheetId="0">#REF!</definedName>
    <definedName name="Taxrate12" localSheetId="3">#REF!</definedName>
    <definedName name="Taxrate12" localSheetId="4">#REF!</definedName>
    <definedName name="Taxrate12" localSheetId="5">#REF!</definedName>
    <definedName name="Taxrate12" localSheetId="6">#REF!</definedName>
    <definedName name="Taxrate12" localSheetId="7">#REF!</definedName>
    <definedName name="Taxrate12">#REF!</definedName>
    <definedName name="tripping" localSheetId="0">#REF!</definedName>
    <definedName name="tripping" localSheetId="3">#REF!</definedName>
    <definedName name="tripping" localSheetId="4">#REF!</definedName>
    <definedName name="tripping" localSheetId="5">#REF!</definedName>
    <definedName name="tripping" localSheetId="6">#REF!</definedName>
    <definedName name="tripping" localSheetId="7">#REF!</definedName>
    <definedName name="tripping">#REF!</definedName>
    <definedName name="uNIT1" localSheetId="3">#REF!</definedName>
    <definedName name="uNIT1" localSheetId="4">#REF!</definedName>
    <definedName name="uNIT1" localSheetId="5">#REF!</definedName>
    <definedName name="uNIT1" localSheetId="6">#REF!</definedName>
    <definedName name="uNIT1" localSheetId="7">#REF!</definedName>
    <definedName name="uNIT1">#REF!</definedName>
    <definedName name="uNIT2" localSheetId="3">#REF!</definedName>
    <definedName name="uNIT2" localSheetId="4">#REF!</definedName>
    <definedName name="uNIT2" localSheetId="5">#REF!</definedName>
    <definedName name="uNIT2" localSheetId="6">#REF!</definedName>
    <definedName name="uNIT2" localSheetId="7">#REF!</definedName>
    <definedName name="uNIT2">#REF!</definedName>
    <definedName name="uNIT3" localSheetId="3">#REF!</definedName>
    <definedName name="uNIT3" localSheetId="4">#REF!</definedName>
    <definedName name="uNIT3" localSheetId="5">#REF!</definedName>
    <definedName name="uNIT3" localSheetId="6">#REF!</definedName>
    <definedName name="uNIT3" localSheetId="7">#REF!</definedName>
    <definedName name="uNIT3">#REF!</definedName>
    <definedName name="W" localSheetId="3">#REF!</definedName>
    <definedName name="W" localSheetId="4">#REF!</definedName>
    <definedName name="W" localSheetId="5">#REF!</definedName>
    <definedName name="W" localSheetId="6">#REF!</definedName>
    <definedName name="W" localSheetId="7">#REF!</definedName>
    <definedName name="W">#REF!</definedName>
    <definedName name="WEEK_1A" localSheetId="3">#REF!</definedName>
    <definedName name="WEEK_1A" localSheetId="4">#REF!</definedName>
    <definedName name="WEEK_1A" localSheetId="5">#REF!</definedName>
    <definedName name="WEEK_1A" localSheetId="6">#REF!</definedName>
    <definedName name="WEEK_1A" localSheetId="7">#REF!</definedName>
    <definedName name="WEEK_1A">#REF!</definedName>
    <definedName name="WEEK_1B" localSheetId="3">#REF!</definedName>
    <definedName name="WEEK_1B" localSheetId="4">#REF!</definedName>
    <definedName name="WEEK_1B" localSheetId="5">#REF!</definedName>
    <definedName name="WEEK_1B" localSheetId="6">#REF!</definedName>
    <definedName name="WEEK_1B" localSheetId="7">#REF!</definedName>
    <definedName name="WEEK_1B">#REF!</definedName>
    <definedName name="WEEK_2A" localSheetId="3">#REF!</definedName>
    <definedName name="WEEK_2A" localSheetId="4">#REF!</definedName>
    <definedName name="WEEK_2A" localSheetId="5">#REF!</definedName>
    <definedName name="WEEK_2A" localSheetId="6">#REF!</definedName>
    <definedName name="WEEK_2A" localSheetId="7">#REF!</definedName>
    <definedName name="WEEK_2A">#REF!</definedName>
    <definedName name="WEEK_2B" localSheetId="3">#REF!</definedName>
    <definedName name="WEEK_2B" localSheetId="4">#REF!</definedName>
    <definedName name="WEEK_2B" localSheetId="5">#REF!</definedName>
    <definedName name="WEEK_2B" localSheetId="6">#REF!</definedName>
    <definedName name="WEEK_2B" localSheetId="7">#REF!</definedName>
    <definedName name="WEEK_2B">#REF!</definedName>
    <definedName name="X1_" localSheetId="0">#REF!</definedName>
    <definedName name="X1_" localSheetId="3">#REF!</definedName>
    <definedName name="X1_" localSheetId="4">#REF!</definedName>
    <definedName name="X1_" localSheetId="5">#REF!</definedName>
    <definedName name="X1_" localSheetId="6">#REF!</definedName>
    <definedName name="X1_" localSheetId="7">#REF!</definedName>
    <definedName name="X1_">#REF!</definedName>
    <definedName name="X11__?___QUIT_" localSheetId="3">#REF!</definedName>
    <definedName name="X11__?___QUIT_" localSheetId="4">#REF!</definedName>
    <definedName name="X11__?___QUIT_" localSheetId="5">#REF!</definedName>
    <definedName name="X11__?___QUIT_" localSheetId="6">#REF!</definedName>
    <definedName name="X11__?___QUIT_" localSheetId="7">#REF!</definedName>
    <definedName name="X11__?___QUIT_">#REF!</definedName>
    <definedName name="YEAR" localSheetId="0">#REF!</definedName>
    <definedName name="YEAR" localSheetId="3">#REF!</definedName>
    <definedName name="YEAR" localSheetId="4">#REF!</definedName>
    <definedName name="YEAR" localSheetId="5">#REF!</definedName>
    <definedName name="YEAR" localSheetId="6">#REF!</definedName>
    <definedName name="YEAR" localSheetId="7">#REF!</definedName>
    <definedName name="YEAR">#REF!</definedName>
    <definedName name="Year1" localSheetId="3">#REF!</definedName>
    <definedName name="Year1" localSheetId="4">#REF!</definedName>
    <definedName name="Year1" localSheetId="5">#REF!</definedName>
    <definedName name="Year1" localSheetId="6">#REF!</definedName>
    <definedName name="Year1" localSheetId="7">#REF!</definedName>
    <definedName name="Year1">#REF!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5" i="3" l="1"/>
  <c r="C6" i="3"/>
  <c r="C7" i="3"/>
  <c r="E6" i="12"/>
  <c r="M5" i="12"/>
  <c r="M12" i="12" s="1"/>
  <c r="D8" i="3"/>
  <c r="C8" i="3" s="1"/>
  <c r="C20" i="3"/>
  <c r="H21" i="3"/>
  <c r="H17" i="3"/>
  <c r="P15" i="3"/>
  <c r="P16" i="3"/>
  <c r="P17" i="3"/>
  <c r="P14" i="3"/>
  <c r="E18" i="12"/>
  <c r="E10" i="12"/>
  <c r="E18" i="13"/>
  <c r="E10" i="13"/>
  <c r="E18" i="16"/>
  <c r="E10" i="16"/>
  <c r="E18" i="17"/>
  <c r="E10" i="17"/>
  <c r="E18" i="1"/>
  <c r="E10" i="1"/>
  <c r="G17" i="3"/>
  <c r="H16" i="3" s="1"/>
  <c r="H15" i="3"/>
  <c r="H22" i="3"/>
  <c r="O9" i="12"/>
  <c r="E25" i="12"/>
  <c r="O8" i="12"/>
  <c r="O7" i="12"/>
  <c r="E21" i="12"/>
  <c r="O5" i="12"/>
  <c r="O12" i="12" s="1"/>
  <c r="N5" i="12"/>
  <c r="N12" i="12"/>
  <c r="C12" i="3"/>
  <c r="C15" i="3" s="1"/>
  <c r="C25" i="3"/>
  <c r="S8" i="12" s="1"/>
  <c r="C24" i="3"/>
  <c r="J29" i="16" s="1"/>
  <c r="C26" i="3"/>
  <c r="C21" i="3"/>
  <c r="C27" i="3"/>
  <c r="J8" i="16" s="1"/>
  <c r="C22" i="3"/>
  <c r="C19" i="3"/>
  <c r="T9" i="12"/>
  <c r="M21" i="12" s="1"/>
  <c r="W6" i="12"/>
  <c r="W7" i="12"/>
  <c r="G20" i="3"/>
  <c r="W8" i="12"/>
  <c r="G18" i="3"/>
  <c r="X9" i="12"/>
  <c r="O21" i="12" s="1"/>
  <c r="V13" i="13"/>
  <c r="V14" i="13"/>
  <c r="V15" i="13"/>
  <c r="U13" i="17"/>
  <c r="U19" i="17" s="1"/>
  <c r="N29" i="17" s="1"/>
  <c r="V13" i="17"/>
  <c r="V19" i="17"/>
  <c r="U15" i="17"/>
  <c r="U21" i="17" s="1"/>
  <c r="V8" i="17"/>
  <c r="N20" i="17"/>
  <c r="J22" i="17" s="1"/>
  <c r="U14" i="17"/>
  <c r="U20" i="17"/>
  <c r="N19" i="17"/>
  <c r="N18" i="17"/>
  <c r="J8" i="17" s="1"/>
  <c r="M22" i="1"/>
  <c r="C9" i="3"/>
  <c r="N12" i="13"/>
  <c r="W6" i="13"/>
  <c r="W10" i="13"/>
  <c r="W15" i="13"/>
  <c r="W22" i="13" s="1"/>
  <c r="W14" i="13"/>
  <c r="W6" i="1"/>
  <c r="W13" i="1"/>
  <c r="W7" i="1"/>
  <c r="W14" i="1" s="1"/>
  <c r="W8" i="1"/>
  <c r="D11" i="3"/>
  <c r="X9" i="17"/>
  <c r="O21" i="17" s="1"/>
  <c r="W8" i="17"/>
  <c r="X8" i="17" s="1"/>
  <c r="W7" i="17"/>
  <c r="X7" i="17"/>
  <c r="W6" i="17"/>
  <c r="X6" i="17" s="1"/>
  <c r="O21" i="13"/>
  <c r="J28" i="13"/>
  <c r="O20" i="13"/>
  <c r="J21" i="13" s="1"/>
  <c r="O19" i="13"/>
  <c r="J14" i="13"/>
  <c r="O12" i="13"/>
  <c r="E7" i="13"/>
  <c r="E21" i="13"/>
  <c r="E23" i="13"/>
  <c r="E25" i="13"/>
  <c r="E23" i="12"/>
  <c r="W6" i="16"/>
  <c r="W13" i="16"/>
  <c r="W15" i="16"/>
  <c r="W14" i="16"/>
  <c r="W21" i="16"/>
  <c r="O19" i="16"/>
  <c r="O20" i="16"/>
  <c r="O21" i="16"/>
  <c r="O22" i="16"/>
  <c r="J15" i="17"/>
  <c r="U10" i="17"/>
  <c r="M5" i="1"/>
  <c r="M12" i="1"/>
  <c r="O22" i="1"/>
  <c r="D23" i="3"/>
  <c r="D18" i="3"/>
  <c r="J15" i="1"/>
  <c r="J27" i="1"/>
  <c r="M5" i="17"/>
  <c r="M12" i="17" s="1"/>
  <c r="E6" i="17"/>
  <c r="J28" i="1"/>
  <c r="T9" i="1"/>
  <c r="M21" i="1" s="1"/>
  <c r="P21" i="1" s="1"/>
  <c r="O21" i="1"/>
  <c r="J20" i="1"/>
  <c r="J27" i="16"/>
  <c r="J26" i="16" s="1"/>
  <c r="T9" i="17"/>
  <c r="M21" i="17"/>
  <c r="J27" i="17" s="1"/>
  <c r="J14" i="1"/>
  <c r="J6" i="1"/>
  <c r="J29" i="1"/>
  <c r="V9" i="12"/>
  <c r="N21" i="12" s="1"/>
  <c r="J29" i="12" s="1"/>
  <c r="U8" i="13"/>
  <c r="U15" i="13" s="1"/>
  <c r="S7" i="12"/>
  <c r="S14" i="12"/>
  <c r="S21" i="12" s="1"/>
  <c r="E6" i="1"/>
  <c r="J8" i="1"/>
  <c r="W14" i="17"/>
  <c r="W20" i="17" s="1"/>
  <c r="N24" i="17"/>
  <c r="W15" i="17"/>
  <c r="W21" i="17"/>
  <c r="W13" i="17"/>
  <c r="W19" i="17" s="1"/>
  <c r="U6" i="12"/>
  <c r="V6" i="12"/>
  <c r="V13" i="12" s="1"/>
  <c r="T9" i="13"/>
  <c r="M21" i="13"/>
  <c r="J27" i="13"/>
  <c r="T9" i="16"/>
  <c r="M21" i="16" s="1"/>
  <c r="P21" i="16" s="1"/>
  <c r="S6" i="12"/>
  <c r="T6" i="12"/>
  <c r="T13" i="12" s="1"/>
  <c r="V9" i="16"/>
  <c r="N21" i="16"/>
  <c r="J6" i="16"/>
  <c r="J13" i="1"/>
  <c r="J13" i="16"/>
  <c r="E7" i="12"/>
  <c r="S8" i="13"/>
  <c r="S15" i="13"/>
  <c r="S22" i="13" s="1"/>
  <c r="S7" i="13"/>
  <c r="S14" i="13"/>
  <c r="J22" i="1"/>
  <c r="J22" i="16"/>
  <c r="V20" i="13"/>
  <c r="U6" i="13"/>
  <c r="U13" i="13"/>
  <c r="U20" i="13" s="1"/>
  <c r="N29" i="13" s="1"/>
  <c r="V9" i="1"/>
  <c r="N21" i="1"/>
  <c r="C14" i="3"/>
  <c r="U7" i="13"/>
  <c r="C17" i="3"/>
  <c r="C16" i="3"/>
  <c r="P8" i="16"/>
  <c r="E24" i="16" s="1"/>
  <c r="J15" i="16"/>
  <c r="O6" i="13"/>
  <c r="X9" i="1"/>
  <c r="C13" i="3"/>
  <c r="U7" i="12"/>
  <c r="E6" i="16"/>
  <c r="M5" i="13"/>
  <c r="M5" i="16"/>
  <c r="M12" i="16" s="1"/>
  <c r="E6" i="13"/>
  <c r="W22" i="16"/>
  <c r="P7" i="16"/>
  <c r="E22" i="16" s="1"/>
  <c r="W21" i="13"/>
  <c r="P8" i="13"/>
  <c r="E24" i="13" s="1"/>
  <c r="C10" i="3"/>
  <c r="C11" i="3"/>
  <c r="N6" i="12"/>
  <c r="N10" i="12" s="1"/>
  <c r="N6" i="13"/>
  <c r="N10" i="13"/>
  <c r="X7" i="1"/>
  <c r="O19" i="1"/>
  <c r="O6" i="12"/>
  <c r="X7" i="12"/>
  <c r="O19" i="12" s="1"/>
  <c r="J14" i="12" s="1"/>
  <c r="J20" i="16"/>
  <c r="S6" i="13"/>
  <c r="V21" i="13"/>
  <c r="W13" i="13"/>
  <c r="V22" i="13"/>
  <c r="W10" i="1"/>
  <c r="W15" i="1"/>
  <c r="P7" i="1" s="1"/>
  <c r="E22" i="1" s="1"/>
  <c r="P9" i="1"/>
  <c r="W20" i="1"/>
  <c r="W10" i="17"/>
  <c r="O19" i="17"/>
  <c r="J14" i="17" s="1"/>
  <c r="W10" i="12"/>
  <c r="W13" i="12"/>
  <c r="W14" i="12"/>
  <c r="W15" i="12"/>
  <c r="W20" i="16"/>
  <c r="W17" i="16"/>
  <c r="P9" i="16"/>
  <c r="E26" i="16"/>
  <c r="W10" i="16"/>
  <c r="V14" i="17"/>
  <c r="J26" i="1"/>
  <c r="J12" i="1"/>
  <c r="N20" i="13"/>
  <c r="J22" i="13"/>
  <c r="T7" i="12"/>
  <c r="M19" i="12" s="1"/>
  <c r="J13" i="12" s="1"/>
  <c r="N18" i="13"/>
  <c r="J8" i="13"/>
  <c r="T8" i="13"/>
  <c r="M20" i="13" s="1"/>
  <c r="J20" i="13" s="1"/>
  <c r="P8" i="17"/>
  <c r="E24" i="17" s="1"/>
  <c r="U10" i="13"/>
  <c r="N24" i="13"/>
  <c r="S13" i="12"/>
  <c r="S20" i="12" s="1"/>
  <c r="N18" i="12"/>
  <c r="J8" i="12"/>
  <c r="M18" i="12"/>
  <c r="U13" i="12"/>
  <c r="U20" i="12"/>
  <c r="P7" i="17"/>
  <c r="E22" i="17" s="1"/>
  <c r="P9" i="17"/>
  <c r="E26" i="17"/>
  <c r="T7" i="13"/>
  <c r="M19" i="13" s="1"/>
  <c r="J13" i="13" s="1"/>
  <c r="J12" i="13" s="1"/>
  <c r="J12" i="16"/>
  <c r="J19" i="16"/>
  <c r="W22" i="1"/>
  <c r="O5" i="1"/>
  <c r="O5" i="16"/>
  <c r="E7" i="1"/>
  <c r="E7" i="16"/>
  <c r="E7" i="17"/>
  <c r="O5" i="17"/>
  <c r="O12" i="17" s="1"/>
  <c r="N19" i="13"/>
  <c r="J15" i="13"/>
  <c r="U14" i="13"/>
  <c r="U21" i="13" s="1"/>
  <c r="N30" i="13" s="1"/>
  <c r="E15" i="13"/>
  <c r="O10" i="13"/>
  <c r="O8" i="1"/>
  <c r="O8" i="16"/>
  <c r="E23" i="1"/>
  <c r="E23" i="16"/>
  <c r="O8" i="17"/>
  <c r="S7" i="17" s="1"/>
  <c r="T7" i="17" s="1"/>
  <c r="E23" i="17"/>
  <c r="E15" i="1"/>
  <c r="O6" i="1"/>
  <c r="O6" i="17"/>
  <c r="E15" i="16"/>
  <c r="O6" i="16"/>
  <c r="E15" i="17"/>
  <c r="V7" i="12"/>
  <c r="U14" i="12"/>
  <c r="O9" i="1"/>
  <c r="O9" i="16"/>
  <c r="U6" i="16" s="1"/>
  <c r="E25" i="16"/>
  <c r="E25" i="1"/>
  <c r="E25" i="17"/>
  <c r="O9" i="17"/>
  <c r="S6" i="17" s="1"/>
  <c r="S13" i="17" s="1"/>
  <c r="S19" i="17" s="1"/>
  <c r="T6" i="13"/>
  <c r="M18" i="13"/>
  <c r="S10" i="13"/>
  <c r="S13" i="13"/>
  <c r="S20" i="13" s="1"/>
  <c r="M12" i="13"/>
  <c r="E16" i="12"/>
  <c r="N6" i="16"/>
  <c r="E16" i="13"/>
  <c r="E16" i="16"/>
  <c r="E16" i="17"/>
  <c r="E16" i="1"/>
  <c r="N6" i="1"/>
  <c r="N6" i="17"/>
  <c r="E15" i="12"/>
  <c r="O10" i="12"/>
  <c r="E8" i="1"/>
  <c r="E8" i="13"/>
  <c r="N5" i="16"/>
  <c r="N5" i="17"/>
  <c r="E8" i="12"/>
  <c r="E8" i="16"/>
  <c r="N5" i="1"/>
  <c r="E8" i="17"/>
  <c r="W20" i="13"/>
  <c r="W17" i="13"/>
  <c r="P9" i="13"/>
  <c r="E26" i="13"/>
  <c r="S21" i="13"/>
  <c r="E26" i="1"/>
  <c r="V20" i="12"/>
  <c r="N29" i="12" s="1"/>
  <c r="P8" i="12"/>
  <c r="E24" i="12"/>
  <c r="W21" i="12"/>
  <c r="W17" i="12"/>
  <c r="W20" i="12"/>
  <c r="P9" i="12"/>
  <c r="E26" i="12"/>
  <c r="W22" i="12"/>
  <c r="P7" i="12"/>
  <c r="E22" i="12"/>
  <c r="V20" i="17"/>
  <c r="N30" i="17" s="1"/>
  <c r="N25" i="17"/>
  <c r="V15" i="17"/>
  <c r="P20" i="13"/>
  <c r="J19" i="13"/>
  <c r="M24" i="12"/>
  <c r="J6" i="12"/>
  <c r="S17" i="13"/>
  <c r="J6" i="13"/>
  <c r="E20" i="12"/>
  <c r="T6" i="17"/>
  <c r="N19" i="12"/>
  <c r="S7" i="1"/>
  <c r="U7" i="1"/>
  <c r="N25" i="13"/>
  <c r="U17" i="13"/>
  <c r="S6" i="16"/>
  <c r="O12" i="16"/>
  <c r="O13" i="16"/>
  <c r="U6" i="1"/>
  <c r="S6" i="1"/>
  <c r="O12" i="1"/>
  <c r="O13" i="13"/>
  <c r="O14" i="13" s="1"/>
  <c r="U21" i="12"/>
  <c r="M19" i="17"/>
  <c r="J13" i="17" s="1"/>
  <c r="J12" i="17" s="1"/>
  <c r="S14" i="17"/>
  <c r="S20" i="17"/>
  <c r="U7" i="16"/>
  <c r="S7" i="16"/>
  <c r="M19" i="16" s="1"/>
  <c r="N12" i="16"/>
  <c r="N13" i="16" s="1"/>
  <c r="N10" i="16"/>
  <c r="N12" i="17"/>
  <c r="N14" i="17" s="1"/>
  <c r="N13" i="17"/>
  <c r="N10" i="17"/>
  <c r="N12" i="1"/>
  <c r="N14" i="1" s="1"/>
  <c r="N13" i="1"/>
  <c r="N10" i="1"/>
  <c r="T13" i="13"/>
  <c r="T10" i="13"/>
  <c r="V21" i="17"/>
  <c r="N31" i="17"/>
  <c r="N26" i="17"/>
  <c r="O13" i="1"/>
  <c r="O14" i="1" s="1"/>
  <c r="O13" i="12"/>
  <c r="O14" i="12" s="1"/>
  <c r="S14" i="16"/>
  <c r="S21" i="16" s="1"/>
  <c r="T7" i="16"/>
  <c r="V6" i="16"/>
  <c r="N18" i="16" s="1"/>
  <c r="U13" i="16"/>
  <c r="S14" i="1"/>
  <c r="S21" i="1" s="1"/>
  <c r="T7" i="1"/>
  <c r="M19" i="1" s="1"/>
  <c r="U14" i="16"/>
  <c r="U21" i="16" s="1"/>
  <c r="V7" i="16"/>
  <c r="N19" i="16" s="1"/>
  <c r="P19" i="16" s="1"/>
  <c r="S30" i="13"/>
  <c r="S26" i="13" s="1"/>
  <c r="S13" i="1"/>
  <c r="S26" i="12"/>
  <c r="S27" i="12" s="1"/>
  <c r="U13" i="1"/>
  <c r="U20" i="1" s="1"/>
  <c r="S34" i="13"/>
  <c r="V6" i="1"/>
  <c r="V13" i="1" s="1"/>
  <c r="N24" i="1" s="1"/>
  <c r="M18" i="17"/>
  <c r="T13" i="17"/>
  <c r="O14" i="16"/>
  <c r="U14" i="1"/>
  <c r="U21" i="1" s="1"/>
  <c r="W35" i="13" s="1"/>
  <c r="X35" i="13" s="1"/>
  <c r="J15" i="12"/>
  <c r="J12" i="12"/>
  <c r="P19" i="12"/>
  <c r="T20" i="13"/>
  <c r="M29" i="13"/>
  <c r="T14" i="13"/>
  <c r="M24" i="13"/>
  <c r="N13" i="12"/>
  <c r="N14" i="12" s="1"/>
  <c r="N13" i="13"/>
  <c r="N14" i="13" s="1"/>
  <c r="N14" i="16"/>
  <c r="U26" i="12"/>
  <c r="U20" i="16"/>
  <c r="J6" i="17"/>
  <c r="N18" i="1"/>
  <c r="S31" i="13"/>
  <c r="U31" i="13" s="1"/>
  <c r="X31" i="13" s="1"/>
  <c r="U30" i="13"/>
  <c r="U34" i="13"/>
  <c r="S35" i="13"/>
  <c r="S20" i="1"/>
  <c r="M24" i="17"/>
  <c r="T19" i="17"/>
  <c r="T14" i="17"/>
  <c r="W31" i="13"/>
  <c r="M25" i="13"/>
  <c r="T15" i="13"/>
  <c r="T21" i="13"/>
  <c r="M30" i="13" s="1"/>
  <c r="M25" i="17"/>
  <c r="T20" i="17"/>
  <c r="M30" i="17" s="1"/>
  <c r="S27" i="13"/>
  <c r="U35" i="13"/>
  <c r="V20" i="1"/>
  <c r="U26" i="13"/>
  <c r="U27" i="12"/>
  <c r="T16" i="13"/>
  <c r="M27" i="13"/>
  <c r="M26" i="13"/>
  <c r="T22" i="13"/>
  <c r="M31" i="13"/>
  <c r="T17" i="13"/>
  <c r="U27" i="13"/>
  <c r="X27" i="13" l="1"/>
  <c r="W27" i="13"/>
  <c r="W26" i="12"/>
  <c r="X26" i="12" s="1"/>
  <c r="W30" i="13"/>
  <c r="W27" i="12"/>
  <c r="N29" i="1"/>
  <c r="M29" i="17"/>
  <c r="X27" i="12"/>
  <c r="W34" i="13"/>
  <c r="X34" i="13" s="1"/>
  <c r="P18" i="17"/>
  <c r="V13" i="16"/>
  <c r="V7" i="1"/>
  <c r="S13" i="16"/>
  <c r="P19" i="17"/>
  <c r="T6" i="1"/>
  <c r="M22" i="13"/>
  <c r="P19" i="13"/>
  <c r="P8" i="1"/>
  <c r="E24" i="1" s="1"/>
  <c r="W17" i="1"/>
  <c r="W21" i="1"/>
  <c r="S10" i="12"/>
  <c r="T8" i="12"/>
  <c r="T10" i="12" s="1"/>
  <c r="M20" i="12"/>
  <c r="S15" i="12"/>
  <c r="T14" i="12"/>
  <c r="T20" i="12"/>
  <c r="M29" i="12" s="1"/>
  <c r="O18" i="17"/>
  <c r="J7" i="17" s="1"/>
  <c r="J5" i="17" s="1"/>
  <c r="X10" i="17"/>
  <c r="X13" i="17"/>
  <c r="J28" i="17"/>
  <c r="P21" i="12"/>
  <c r="J27" i="12"/>
  <c r="O7" i="17"/>
  <c r="O7" i="1"/>
  <c r="O7" i="16"/>
  <c r="E21" i="16"/>
  <c r="E20" i="16" s="1"/>
  <c r="E21" i="17"/>
  <c r="E20" i="17" s="1"/>
  <c r="E21" i="1"/>
  <c r="E20" i="1" s="1"/>
  <c r="T6" i="16"/>
  <c r="U22" i="13"/>
  <c r="N31" i="13" s="1"/>
  <c r="N26" i="13"/>
  <c r="M6" i="16"/>
  <c r="E14" i="16"/>
  <c r="M6" i="1"/>
  <c r="E14" i="1"/>
  <c r="M6" i="17"/>
  <c r="E14" i="13"/>
  <c r="E14" i="12"/>
  <c r="M6" i="12"/>
  <c r="M6" i="13"/>
  <c r="E14" i="17"/>
  <c r="N24" i="12"/>
  <c r="V14" i="12"/>
  <c r="J28" i="12"/>
  <c r="P7" i="13"/>
  <c r="E22" i="13" s="1"/>
  <c r="E20" i="13" s="1"/>
  <c r="O20" i="17"/>
  <c r="J21" i="17" s="1"/>
  <c r="O13" i="17"/>
  <c r="O14" i="17" s="1"/>
  <c r="G21" i="3"/>
  <c r="G19" i="3"/>
  <c r="U8" i="12"/>
  <c r="V8" i="12" s="1"/>
  <c r="V10" i="12" s="1"/>
  <c r="J21" i="1" l="1"/>
  <c r="J19" i="1" s="1"/>
  <c r="X8" i="1"/>
  <c r="X8" i="12"/>
  <c r="O20" i="12" s="1"/>
  <c r="O20" i="1"/>
  <c r="M10" i="13"/>
  <c r="M13" i="13"/>
  <c r="M10" i="16"/>
  <c r="M13" i="16"/>
  <c r="M14" i="16" s="1"/>
  <c r="X6" i="12"/>
  <c r="X6" i="16"/>
  <c r="J7" i="16"/>
  <c r="J5" i="16" s="1"/>
  <c r="X6" i="1"/>
  <c r="X6" i="13"/>
  <c r="J7" i="1"/>
  <c r="J5" i="1" s="1"/>
  <c r="V15" i="12"/>
  <c r="V21" i="12"/>
  <c r="N30" i="12" s="1"/>
  <c r="N25" i="12"/>
  <c r="M13" i="12"/>
  <c r="M10" i="12"/>
  <c r="S8" i="17"/>
  <c r="O10" i="17"/>
  <c r="O22" i="17"/>
  <c r="U15" i="12"/>
  <c r="U10" i="12"/>
  <c r="N20" i="12"/>
  <c r="M13" i="1"/>
  <c r="M14" i="1" s="1"/>
  <c r="M10" i="1"/>
  <c r="J26" i="12"/>
  <c r="S22" i="12"/>
  <c r="S17" i="12"/>
  <c r="S20" i="16"/>
  <c r="P29" i="17"/>
  <c r="J9" i="17" s="1"/>
  <c r="M18" i="16"/>
  <c r="T13" i="16"/>
  <c r="O10" i="16"/>
  <c r="U8" i="16"/>
  <c r="S8" i="16"/>
  <c r="O24" i="17"/>
  <c r="P24" i="17" s="1"/>
  <c r="X14" i="17"/>
  <c r="X19" i="17"/>
  <c r="O29" i="17" s="1"/>
  <c r="T15" i="12"/>
  <c r="M25" i="12"/>
  <c r="T21" i="12"/>
  <c r="M30" i="12" s="1"/>
  <c r="J20" i="12"/>
  <c r="M22" i="12"/>
  <c r="P20" i="12"/>
  <c r="N19" i="1"/>
  <c r="P19" i="1" s="1"/>
  <c r="X30" i="13"/>
  <c r="X26" i="13" s="1"/>
  <c r="W26" i="13"/>
  <c r="M13" i="17"/>
  <c r="M14" i="17" s="1"/>
  <c r="M10" i="17"/>
  <c r="S8" i="1"/>
  <c r="U8" i="1"/>
  <c r="O10" i="1"/>
  <c r="M18" i="1"/>
  <c r="T13" i="1"/>
  <c r="N24" i="16"/>
  <c r="V14" i="16"/>
  <c r="V20" i="16"/>
  <c r="N29" i="16" s="1"/>
  <c r="V14" i="1"/>
  <c r="V15" i="1" l="1"/>
  <c r="N25" i="1"/>
  <c r="V21" i="1"/>
  <c r="N30" i="1" s="1"/>
  <c r="O18" i="13"/>
  <c r="X10" i="13"/>
  <c r="X13" i="13"/>
  <c r="U15" i="1"/>
  <c r="S36" i="13"/>
  <c r="U36" i="13" s="1"/>
  <c r="V8" i="1"/>
  <c r="V10" i="1" s="1"/>
  <c r="U10" i="1"/>
  <c r="M29" i="16"/>
  <c r="J22" i="12"/>
  <c r="N22" i="12"/>
  <c r="D37" i="12" s="1"/>
  <c r="X10" i="1"/>
  <c r="O18" i="1"/>
  <c r="X13" i="1"/>
  <c r="D32" i="1"/>
  <c r="T20" i="1"/>
  <c r="T14" i="1"/>
  <c r="M24" i="1"/>
  <c r="T22" i="12"/>
  <c r="M31" i="12" s="1"/>
  <c r="T16" i="12"/>
  <c r="M27" i="12" s="1"/>
  <c r="T20" i="16"/>
  <c r="T14" i="16"/>
  <c r="D32" i="16"/>
  <c r="S15" i="1"/>
  <c r="T8" i="1"/>
  <c r="T10" i="1" s="1"/>
  <c r="S10" i="1"/>
  <c r="S32" i="13"/>
  <c r="S28" i="12"/>
  <c r="U28" i="12" s="1"/>
  <c r="T8" i="16"/>
  <c r="T10" i="16" s="1"/>
  <c r="S15" i="16"/>
  <c r="S10" i="16"/>
  <c r="J10" i="17"/>
  <c r="T8" i="17"/>
  <c r="S15" i="17"/>
  <c r="M20" i="17"/>
  <c r="S10" i="17"/>
  <c r="M14" i="12"/>
  <c r="V22" i="12"/>
  <c r="V16" i="12"/>
  <c r="N27" i="12" s="1"/>
  <c r="N25" i="16"/>
  <c r="V21" i="16"/>
  <c r="N30" i="16" s="1"/>
  <c r="P18" i="1"/>
  <c r="V8" i="16"/>
  <c r="V10" i="16" s="1"/>
  <c r="U10" i="16"/>
  <c r="U15" i="16"/>
  <c r="P18" i="16"/>
  <c r="M26" i="12"/>
  <c r="U22" i="12"/>
  <c r="N31" i="12" s="1"/>
  <c r="U17" i="12"/>
  <c r="N26" i="12"/>
  <c r="O18" i="16"/>
  <c r="X10" i="16"/>
  <c r="X13" i="16"/>
  <c r="M14" i="13"/>
  <c r="J21" i="12"/>
  <c r="J19" i="12" s="1"/>
  <c r="X15" i="17"/>
  <c r="O25" i="17"/>
  <c r="P25" i="17" s="1"/>
  <c r="X20" i="17"/>
  <c r="O30" i="17" s="1"/>
  <c r="P30" i="17" s="1"/>
  <c r="J16" i="17" s="1"/>
  <c r="M24" i="16"/>
  <c r="O18" i="12"/>
  <c r="X13" i="12"/>
  <c r="X10" i="12"/>
  <c r="J11" i="17"/>
  <c r="D36" i="12" l="1"/>
  <c r="D38" i="12" s="1"/>
  <c r="M7" i="3" s="1"/>
  <c r="J7" i="12"/>
  <c r="J5" i="12" s="1"/>
  <c r="P18" i="12"/>
  <c r="P22" i="12" s="1"/>
  <c r="S21" i="17"/>
  <c r="M26" i="17"/>
  <c r="S22" i="16"/>
  <c r="S17" i="16"/>
  <c r="J18" i="17"/>
  <c r="P24" i="16"/>
  <c r="O22" i="12"/>
  <c r="O24" i="16"/>
  <c r="X20" i="16"/>
  <c r="O29" i="16" s="1"/>
  <c r="P29" i="16" s="1"/>
  <c r="X14" i="16"/>
  <c r="V17" i="12"/>
  <c r="N20" i="16"/>
  <c r="N22" i="16" s="1"/>
  <c r="T17" i="12"/>
  <c r="T10" i="17"/>
  <c r="T15" i="17"/>
  <c r="M20" i="16"/>
  <c r="S28" i="13"/>
  <c r="U32" i="13"/>
  <c r="M20" i="1"/>
  <c r="M29" i="1"/>
  <c r="O24" i="13"/>
  <c r="P24" i="13" s="1"/>
  <c r="X14" i="13"/>
  <c r="X20" i="13"/>
  <c r="O29" i="13" s="1"/>
  <c r="P29" i="13" s="1"/>
  <c r="J9" i="13" s="1"/>
  <c r="T21" i="16"/>
  <c r="M25" i="16"/>
  <c r="T15" i="16"/>
  <c r="J17" i="17"/>
  <c r="U17" i="16"/>
  <c r="U22" i="16"/>
  <c r="N26" i="16"/>
  <c r="X14" i="12"/>
  <c r="O24" i="12"/>
  <c r="P24" i="12" s="1"/>
  <c r="X20" i="12"/>
  <c r="O29" i="12" s="1"/>
  <c r="P29" i="12" s="1"/>
  <c r="J9" i="12" s="1"/>
  <c r="J20" i="17"/>
  <c r="J19" i="17" s="1"/>
  <c r="P20" i="17"/>
  <c r="M22" i="17"/>
  <c r="N20" i="1"/>
  <c r="N22" i="1" s="1"/>
  <c r="D37" i="1" s="1"/>
  <c r="J7" i="13"/>
  <c r="J5" i="13" s="1"/>
  <c r="J11" i="13" s="1"/>
  <c r="O22" i="13"/>
  <c r="P18" i="13"/>
  <c r="O26" i="17"/>
  <c r="X21" i="17"/>
  <c r="O31" i="17" s="1"/>
  <c r="X16" i="17"/>
  <c r="V15" i="16"/>
  <c r="S22" i="1"/>
  <c r="S17" i="1"/>
  <c r="M25" i="1"/>
  <c r="T15" i="1"/>
  <c r="T21" i="1"/>
  <c r="X14" i="1"/>
  <c r="O24" i="1"/>
  <c r="P24" i="1" s="1"/>
  <c r="X20" i="1"/>
  <c r="O29" i="1" s="1"/>
  <c r="U22" i="1"/>
  <c r="U17" i="1"/>
  <c r="N26" i="1"/>
  <c r="V22" i="1"/>
  <c r="V16" i="1"/>
  <c r="N27" i="1" s="1"/>
  <c r="O25" i="1" l="1"/>
  <c r="P25" i="1" s="1"/>
  <c r="X15" i="1"/>
  <c r="X21" i="1"/>
  <c r="O30" i="1" s="1"/>
  <c r="T16" i="1"/>
  <c r="M27" i="1" s="1"/>
  <c r="T22" i="1"/>
  <c r="T17" i="1"/>
  <c r="W28" i="12"/>
  <c r="X28" i="12" s="1"/>
  <c r="W32" i="13"/>
  <c r="M31" i="1"/>
  <c r="O27" i="17"/>
  <c r="P5" i="17"/>
  <c r="P6" i="17"/>
  <c r="X15" i="12"/>
  <c r="O25" i="12"/>
  <c r="P25" i="12" s="1"/>
  <c r="X21" i="12"/>
  <c r="O30" i="12" s="1"/>
  <c r="P30" i="12" s="1"/>
  <c r="J16" i="12" s="1"/>
  <c r="T22" i="16"/>
  <c r="T16" i="16"/>
  <c r="M27" i="16" s="1"/>
  <c r="J9" i="1"/>
  <c r="O25" i="16"/>
  <c r="X21" i="16"/>
  <c r="O30" i="16" s="1"/>
  <c r="X15" i="16"/>
  <c r="J11" i="12"/>
  <c r="J18" i="12" s="1"/>
  <c r="P25" i="16"/>
  <c r="J10" i="13"/>
  <c r="P29" i="1"/>
  <c r="M22" i="16"/>
  <c r="D37" i="16" s="1"/>
  <c r="P20" i="16"/>
  <c r="P22" i="16" s="1"/>
  <c r="P26" i="17"/>
  <c r="J9" i="16"/>
  <c r="M30" i="1"/>
  <c r="P30" i="1" s="1"/>
  <c r="J16" i="1"/>
  <c r="V22" i="16"/>
  <c r="V16" i="16"/>
  <c r="N27" i="16" s="1"/>
  <c r="N31" i="16"/>
  <c r="M30" i="16"/>
  <c r="J16" i="16"/>
  <c r="O25" i="13"/>
  <c r="P25" i="13" s="1"/>
  <c r="X15" i="13"/>
  <c r="X21" i="13"/>
  <c r="O30" i="13" s="1"/>
  <c r="P30" i="13" s="1"/>
  <c r="J16" i="13" s="1"/>
  <c r="P20" i="1"/>
  <c r="P22" i="1" s="1"/>
  <c r="T16" i="17"/>
  <c r="M27" i="17" s="1"/>
  <c r="T21" i="17"/>
  <c r="M31" i="17" s="1"/>
  <c r="T17" i="16"/>
  <c r="D32" i="12"/>
  <c r="W36" i="13"/>
  <c r="X36" i="13" s="1"/>
  <c r="N31" i="1"/>
  <c r="V9" i="17"/>
  <c r="M26" i="1"/>
  <c r="V9" i="13"/>
  <c r="X32" i="13"/>
  <c r="X28" i="13" s="1"/>
  <c r="U28" i="13"/>
  <c r="M26" i="16"/>
  <c r="V17" i="1"/>
  <c r="J23" i="16" l="1"/>
  <c r="P31" i="17"/>
  <c r="J23" i="17" s="1"/>
  <c r="J17" i="13"/>
  <c r="P30" i="16"/>
  <c r="V17" i="16"/>
  <c r="D36" i="1"/>
  <c r="D38" i="1" s="1"/>
  <c r="M4" i="3" s="1"/>
  <c r="R16" i="3" s="1"/>
  <c r="X22" i="16"/>
  <c r="O31" i="16" s="1"/>
  <c r="X16" i="16"/>
  <c r="O26" i="16"/>
  <c r="X17" i="16"/>
  <c r="X16" i="12"/>
  <c r="X22" i="12"/>
  <c r="O31" i="12" s="1"/>
  <c r="P31" i="12" s="1"/>
  <c r="J23" i="12" s="1"/>
  <c r="O26" i="12"/>
  <c r="P26" i="12" s="1"/>
  <c r="N21" i="17"/>
  <c r="V16" i="17"/>
  <c r="N27" i="17" s="1"/>
  <c r="P27" i="17" s="1"/>
  <c r="V10" i="17"/>
  <c r="J29" i="17"/>
  <c r="J26" i="17" s="1"/>
  <c r="N21" i="13"/>
  <c r="V16" i="13"/>
  <c r="V10" i="13"/>
  <c r="J25" i="12"/>
  <c r="J30" i="12" s="1"/>
  <c r="E17" i="17"/>
  <c r="E13" i="17" s="1"/>
  <c r="P13" i="17"/>
  <c r="P26" i="16"/>
  <c r="X22" i="13"/>
  <c r="O31" i="13" s="1"/>
  <c r="P31" i="13" s="1"/>
  <c r="J23" i="13" s="1"/>
  <c r="O26" i="13"/>
  <c r="P26" i="13" s="1"/>
  <c r="X16" i="13"/>
  <c r="X17" i="13" s="1"/>
  <c r="J10" i="12"/>
  <c r="J18" i="13"/>
  <c r="M31" i="16"/>
  <c r="P31" i="16" s="1"/>
  <c r="J17" i="12"/>
  <c r="E9" i="17"/>
  <c r="E5" i="17" s="1"/>
  <c r="P12" i="17"/>
  <c r="P10" i="17"/>
  <c r="W28" i="13"/>
  <c r="X16" i="1"/>
  <c r="X22" i="1"/>
  <c r="O31" i="1" s="1"/>
  <c r="P31" i="1" s="1"/>
  <c r="O26" i="1"/>
  <c r="P26" i="1" s="1"/>
  <c r="J10" i="16"/>
  <c r="J11" i="16"/>
  <c r="J18" i="16" s="1"/>
  <c r="J25" i="16" s="1"/>
  <c r="J30" i="16" s="1"/>
  <c r="J10" i="1"/>
  <c r="J11" i="1"/>
  <c r="J18" i="1" s="1"/>
  <c r="P14" i="17" l="1"/>
  <c r="J25" i="13"/>
  <c r="J24" i="13" s="1"/>
  <c r="N22" i="13"/>
  <c r="D37" i="13" s="1"/>
  <c r="D36" i="13" s="1"/>
  <c r="D38" i="13" s="1"/>
  <c r="M8" i="3" s="1"/>
  <c r="R17" i="3" s="1"/>
  <c r="P21" i="13"/>
  <c r="P22" i="13" s="1"/>
  <c r="J29" i="13"/>
  <c r="J26" i="13" s="1"/>
  <c r="P21" i="17"/>
  <c r="P22" i="17" s="1"/>
  <c r="N22" i="17"/>
  <c r="D38" i="17" s="1"/>
  <c r="D37" i="17" s="1"/>
  <c r="D39" i="17" s="1"/>
  <c r="M5" i="3" s="1"/>
  <c r="R14" i="3" s="1"/>
  <c r="J24" i="12"/>
  <c r="E11" i="17"/>
  <c r="E12" i="17" s="1"/>
  <c r="J17" i="16"/>
  <c r="O27" i="16"/>
  <c r="P27" i="16" s="1"/>
  <c r="P6" i="16"/>
  <c r="P5" i="16"/>
  <c r="N27" i="13"/>
  <c r="V17" i="13"/>
  <c r="O27" i="1"/>
  <c r="P27" i="1" s="1"/>
  <c r="P6" i="1"/>
  <c r="P5" i="1"/>
  <c r="X17" i="1"/>
  <c r="P6" i="13"/>
  <c r="P5" i="13"/>
  <c r="O27" i="13"/>
  <c r="D32" i="17"/>
  <c r="P6" i="12"/>
  <c r="P5" i="12"/>
  <c r="O27" i="12"/>
  <c r="P27" i="12" s="1"/>
  <c r="D36" i="16"/>
  <c r="D38" i="16" s="1"/>
  <c r="M6" i="3" s="1"/>
  <c r="R15" i="3" s="1"/>
  <c r="J25" i="17"/>
  <c r="J30" i="17" s="1"/>
  <c r="J17" i="1"/>
  <c r="X17" i="12"/>
  <c r="J23" i="1"/>
  <c r="J24" i="16"/>
  <c r="E19" i="17" l="1"/>
  <c r="E27" i="17" s="1"/>
  <c r="E9" i="12"/>
  <c r="E5" i="12" s="1"/>
  <c r="P12" i="12"/>
  <c r="P10" i="12"/>
  <c r="P10" i="1"/>
  <c r="E9" i="1"/>
  <c r="E5" i="1" s="1"/>
  <c r="P12" i="1"/>
  <c r="P27" i="13"/>
  <c r="P13" i="12"/>
  <c r="E19" i="12" s="1"/>
  <c r="E17" i="12"/>
  <c r="E13" i="12" s="1"/>
  <c r="P10" i="13"/>
  <c r="E9" i="13"/>
  <c r="E5" i="13" s="1"/>
  <c r="P12" i="13"/>
  <c r="E17" i="1"/>
  <c r="E13" i="1" s="1"/>
  <c r="P13" i="1"/>
  <c r="E9" i="16"/>
  <c r="E5" i="16" s="1"/>
  <c r="P10" i="16"/>
  <c r="P12" i="16"/>
  <c r="P13" i="16" s="1"/>
  <c r="J24" i="17"/>
  <c r="P13" i="13"/>
  <c r="E19" i="13" s="1"/>
  <c r="E17" i="13"/>
  <c r="E13" i="13" s="1"/>
  <c r="E17" i="16"/>
  <c r="E13" i="16" s="1"/>
  <c r="J30" i="13"/>
  <c r="D32" i="13"/>
  <c r="J25" i="1"/>
  <c r="J30" i="1" s="1"/>
  <c r="D31" i="17" l="1"/>
  <c r="D33" i="17" s="1"/>
  <c r="L5" i="3" s="1"/>
  <c r="E28" i="17"/>
  <c r="J24" i="1"/>
  <c r="P14" i="1"/>
  <c r="P14" i="12"/>
  <c r="E11" i="12"/>
  <c r="P14" i="16"/>
  <c r="E11" i="1"/>
  <c r="E12" i="1"/>
  <c r="E12" i="12"/>
  <c r="E27" i="12" s="1"/>
  <c r="P14" i="13"/>
  <c r="E11" i="13"/>
  <c r="E11" i="16"/>
  <c r="E12" i="16" s="1"/>
  <c r="E12" i="13"/>
  <c r="E27" i="13" s="1"/>
  <c r="E19" i="16" l="1"/>
  <c r="E27" i="16" s="1"/>
  <c r="E28" i="13"/>
  <c r="D31" i="13"/>
  <c r="D31" i="12"/>
  <c r="D33" i="12" s="1"/>
  <c r="L7" i="3" s="1"/>
  <c r="E28" i="12"/>
  <c r="E19" i="1"/>
  <c r="E27" i="1" s="1"/>
  <c r="D31" i="1" l="1"/>
  <c r="D33" i="1" s="1"/>
  <c r="L4" i="3" s="1"/>
  <c r="Q14" i="3" s="1"/>
  <c r="E28" i="1"/>
  <c r="D31" i="16"/>
  <c r="D33" i="16" s="1"/>
  <c r="L6" i="3" s="1"/>
  <c r="Q15" i="3" s="1"/>
  <c r="E28" i="16"/>
  <c r="Q16" i="3"/>
  <c r="D33" i="13"/>
  <c r="L8" i="3" s="1"/>
  <c r="Q17" i="3" l="1"/>
</calcChain>
</file>

<file path=xl/sharedStrings.xml><?xml version="1.0" encoding="utf-8"?>
<sst xmlns="http://schemas.openxmlformats.org/spreadsheetml/2006/main" count="1289" uniqueCount="182">
  <si>
    <t>Energy Available</t>
  </si>
  <si>
    <t xml:space="preserve">Energy Requirement </t>
  </si>
  <si>
    <t xml:space="preserve">Particulars </t>
  </si>
  <si>
    <t xml:space="preserve">Unit </t>
  </si>
  <si>
    <t>Quantum</t>
  </si>
  <si>
    <t>Inputs</t>
  </si>
  <si>
    <t>RE</t>
  </si>
  <si>
    <t xml:space="preserve">Inter State </t>
  </si>
  <si>
    <t>Power procured from inter-state sources</t>
  </si>
  <si>
    <t>MU</t>
  </si>
  <si>
    <t>Inter-state</t>
  </si>
  <si>
    <t>33 kV</t>
  </si>
  <si>
    <t>DISCOM</t>
  </si>
  <si>
    <t>Intra-state</t>
  </si>
  <si>
    <t>11 kV</t>
  </si>
  <si>
    <t>Sales Migration</t>
  </si>
  <si>
    <t>LT</t>
  </si>
  <si>
    <t xml:space="preserve">MU </t>
  </si>
  <si>
    <t>Distribution Franchisee</t>
  </si>
  <si>
    <t>Sales Migration input</t>
  </si>
  <si>
    <t>%</t>
  </si>
  <si>
    <t>Total</t>
  </si>
  <si>
    <t>Losses</t>
  </si>
  <si>
    <t>11 kV level</t>
  </si>
  <si>
    <t xml:space="preserve">Sales at 11 kV level  </t>
  </si>
  <si>
    <t xml:space="preserve">Intra State </t>
  </si>
  <si>
    <t>Power procured from intra-state sources</t>
  </si>
  <si>
    <t>Quantum of Losses at 11 kV</t>
  </si>
  <si>
    <t xml:space="preserve">Energy Input at 11kV level </t>
  </si>
  <si>
    <t>33 kV level</t>
  </si>
  <si>
    <t xml:space="preserve">Sales at 33 kV level  </t>
  </si>
  <si>
    <t>Sales</t>
  </si>
  <si>
    <t>DF</t>
  </si>
  <si>
    <t>Quantum of Losses at 33 kV</t>
  </si>
  <si>
    <t>Energy input at 33kV</t>
  </si>
  <si>
    <t>EHV level</t>
  </si>
  <si>
    <t>Input</t>
  </si>
  <si>
    <t>T&amp;D Loss Estimation</t>
  </si>
  <si>
    <t>Loss</t>
  </si>
  <si>
    <t xml:space="preserve">Surplus (+) /Deficit (-) </t>
  </si>
  <si>
    <t>Input (MU)</t>
  </si>
  <si>
    <t>Sales (MU)</t>
  </si>
  <si>
    <t>T&amp;D loss (%)</t>
  </si>
  <si>
    <t>Methodology</t>
  </si>
  <si>
    <t>Instructions for Use</t>
  </si>
  <si>
    <t>Energy input and consumption as handled in system</t>
  </si>
  <si>
    <t>Outside State</t>
  </si>
  <si>
    <t>33kV</t>
  </si>
  <si>
    <t>11kV</t>
  </si>
  <si>
    <t>T&amp;D Loss (%)</t>
  </si>
  <si>
    <t xml:space="preserve">Sheet </t>
  </si>
  <si>
    <t>Off-site Captive sales</t>
  </si>
  <si>
    <t>Short-Term</t>
  </si>
  <si>
    <t>EHV Level</t>
  </si>
  <si>
    <t>Input in DISCOM wires network</t>
  </si>
  <si>
    <t>LT Level</t>
  </si>
  <si>
    <t>N/A</t>
  </si>
  <si>
    <t>Average Rate of Losses at 11 kV</t>
  </si>
  <si>
    <t>Average Rate of Losses at 33 kV</t>
  </si>
  <si>
    <t>Wires input</t>
  </si>
  <si>
    <t>EHV input</t>
  </si>
  <si>
    <t xml:space="preserve">Sales Migration </t>
  </si>
  <si>
    <t xml:space="preserve">Sales at LT level  </t>
  </si>
  <si>
    <t>LT level</t>
  </si>
  <si>
    <t>Quantum of  losses at LT level</t>
  </si>
  <si>
    <t xml:space="preserve">Energy Input at LT level </t>
  </si>
  <si>
    <t>Power at state transmission boundary</t>
  </si>
  <si>
    <t xml:space="preserve">Loss for actual RE input </t>
  </si>
  <si>
    <t>Difference in notional and actual loss</t>
  </si>
  <si>
    <t>Total DISCOM sale for RE input</t>
  </si>
  <si>
    <t xml:space="preserve">Notional loss:  All RE input at EHV level </t>
  </si>
  <si>
    <t xml:space="preserve">Total </t>
  </si>
  <si>
    <t>M1Energy Handled</t>
  </si>
  <si>
    <t>M2DF</t>
  </si>
  <si>
    <t>M3SM</t>
  </si>
  <si>
    <t>M4PP</t>
  </si>
  <si>
    <t>(CLEAR)</t>
  </si>
  <si>
    <t>M5Current</t>
  </si>
  <si>
    <t xml:space="preserve">AT&amp;C Loss Estimation </t>
  </si>
  <si>
    <t>AT&amp;C Loss (%)</t>
  </si>
  <si>
    <t xml:space="preserve">Total Sales to DISCOM Consumers </t>
  </si>
  <si>
    <t>Intra-state/ EHV level</t>
  </si>
  <si>
    <t>Sales Migration not accounted for in Energy Balance</t>
  </si>
  <si>
    <t>Input to DF at EHV level treated as sales to franchisee</t>
  </si>
  <si>
    <t>All RE and short-term power purchase assumed at EHV level</t>
  </si>
  <si>
    <r>
      <rPr>
        <sz val="40"/>
        <color theme="9" tint="0.79998168889431442"/>
        <rFont val="AppleGothic Regular"/>
      </rPr>
      <t>C</t>
    </r>
    <r>
      <rPr>
        <sz val="40"/>
        <color rgb="FFDACCB1"/>
        <rFont val="AppleGothic Regular"/>
      </rPr>
      <t xml:space="preserve">alculator for </t>
    </r>
    <r>
      <rPr>
        <sz val="40"/>
        <color theme="9" tint="0.79998168889431442"/>
        <rFont val="AppleGothic Regular"/>
      </rPr>
      <t>L</t>
    </r>
    <r>
      <rPr>
        <sz val="40"/>
        <color rgb="FFDACCB1"/>
        <rFont val="AppleGothic Regular"/>
      </rPr>
      <t xml:space="preserve">oss &amp; </t>
    </r>
    <r>
      <rPr>
        <sz val="40"/>
        <color theme="9" tint="0.79998168889431442"/>
        <rFont val="AppleGothic Regular"/>
      </rPr>
      <t>E</t>
    </r>
    <r>
      <rPr>
        <sz val="40"/>
        <color rgb="FFDACCB1"/>
        <rFont val="AppleGothic Regular"/>
      </rPr>
      <t xml:space="preserve">nergy </t>
    </r>
    <r>
      <rPr>
        <sz val="40"/>
        <color theme="9" tint="0.79998168889431442"/>
        <rFont val="AppleGothic Regular"/>
      </rPr>
      <t>A</t>
    </r>
    <r>
      <rPr>
        <sz val="40"/>
        <color rgb="FFDACCB1"/>
        <rFont val="AppleGothic Regular"/>
      </rPr>
      <t xml:space="preserve">ccounting in </t>
    </r>
    <r>
      <rPr>
        <sz val="40"/>
        <color rgb="FFFDE9D9"/>
        <rFont val="AppleGothic Regular"/>
      </rPr>
      <t>R</t>
    </r>
    <r>
      <rPr>
        <sz val="40"/>
        <color rgb="FFDACCB1"/>
        <rFont val="AppleGothic Regular"/>
      </rPr>
      <t>egulatory Practice</t>
    </r>
  </si>
  <si>
    <t>Helper 2: Loss adjustment due to RE input from generators embedded in distribution network</t>
  </si>
  <si>
    <t>―</t>
  </si>
  <si>
    <t>Suggested citation : Prayas (Energy Group). (2019, March). Calculator for Loss &amp; Energy Accounting in Regulatory Practice (CLEAR)</t>
  </si>
  <si>
    <t>•</t>
  </si>
  <si>
    <t>Checklist for the User</t>
  </si>
  <si>
    <t>P</t>
  </si>
  <si>
    <t xml:space="preserve">Notes for entering values in the blue cells  </t>
  </si>
  <si>
    <r>
      <t xml:space="preserve">Box 1 called </t>
    </r>
    <r>
      <rPr>
        <b/>
        <sz val="12"/>
        <color theme="1"/>
        <rFont val="Calibri"/>
        <family val="2"/>
        <scheme val="minor"/>
      </rPr>
      <t>“Energy Related Assumptions”</t>
    </r>
    <r>
      <rPr>
        <sz val="12"/>
        <color theme="1"/>
        <rFont val="Calibri"/>
        <family val="2"/>
        <scheme val="minor"/>
      </rPr>
      <t xml:space="preserve"> is where the user enters sales and input variables at various voltage levels. The quantum should be entered in million units (MUs).The voltage-wise or category-wise break-up can be specified in % terms as well. </t>
    </r>
  </si>
  <si>
    <r>
      <t xml:space="preserve">Based on the input and sales calculated in the tables described above, T&amp;D and AT&amp;C losses are calculated in the boxes labelled </t>
    </r>
    <r>
      <rPr>
        <b/>
        <sz val="12"/>
        <color theme="1"/>
        <rFont val="Calibri"/>
        <family val="2"/>
        <scheme val="minor"/>
      </rPr>
      <t>“T&amp;D Loss Estimation”</t>
    </r>
    <r>
      <rPr>
        <sz val="12"/>
        <color theme="1"/>
        <rFont val="Calibri"/>
        <family val="2"/>
        <scheme val="minor"/>
      </rPr>
      <t xml:space="preserve"> and </t>
    </r>
    <r>
      <rPr>
        <b/>
        <sz val="12"/>
        <color theme="1"/>
        <rFont val="Calibri"/>
        <family val="2"/>
        <scheme val="minor"/>
      </rPr>
      <t>“AT&amp;C Loss Estimation”</t>
    </r>
    <r>
      <rPr>
        <sz val="12"/>
        <color theme="1"/>
        <rFont val="Calibri"/>
        <family val="2"/>
        <scheme val="minor"/>
      </rPr>
      <t xml:space="preserve">.
</t>
    </r>
  </si>
  <si>
    <r>
      <t>Based on the input and sales calculated in the tables described above, T&amp;D and AT&amp;C losses are calculated in the boxes labelled</t>
    </r>
    <r>
      <rPr>
        <b/>
        <sz val="12"/>
        <color theme="1"/>
        <rFont val="Calibri"/>
        <family val="2"/>
        <scheme val="minor"/>
      </rPr>
      <t xml:space="preserve"> “T&amp;D Loss Estimation” </t>
    </r>
    <r>
      <rPr>
        <sz val="12"/>
        <color theme="1"/>
        <rFont val="Calibri"/>
        <family val="2"/>
        <scheme val="minor"/>
      </rPr>
      <t xml:space="preserve">and </t>
    </r>
    <r>
      <rPr>
        <b/>
        <sz val="12"/>
        <color theme="1"/>
        <rFont val="Calibri"/>
        <family val="2"/>
        <scheme val="minor"/>
      </rPr>
      <t>“AT&amp;C Loss Estimation”</t>
    </r>
    <r>
      <rPr>
        <sz val="12"/>
        <color theme="1"/>
        <rFont val="Calibri"/>
        <family val="2"/>
        <scheme val="minor"/>
      </rPr>
      <t>.</t>
    </r>
  </si>
  <si>
    <r>
      <t xml:space="preserve"> In this methodology, the sales to open access and off-site captive consumers and the input required for the same are not considered. Energy available and Energy requirement calculations for the DISCOM, distribution franchisees are shown in the tables labelled </t>
    </r>
    <r>
      <rPr>
        <b/>
        <sz val="12"/>
        <color theme="1"/>
        <rFont val="Calibri"/>
        <family val="2"/>
        <scheme val="minor"/>
      </rPr>
      <t>"Energy Available"</t>
    </r>
    <r>
      <rPr>
        <sz val="12"/>
        <color theme="1"/>
        <rFont val="Calibri"/>
        <family val="2"/>
        <scheme val="minor"/>
      </rPr>
      <t xml:space="preserve"> and </t>
    </r>
    <r>
      <rPr>
        <b/>
        <sz val="12"/>
        <color theme="1"/>
        <rFont val="Calibri"/>
        <family val="2"/>
        <scheme val="minor"/>
      </rPr>
      <t>"Energy Requirement”</t>
    </r>
    <r>
      <rPr>
        <sz val="12"/>
        <color theme="1"/>
        <rFont val="Calibri"/>
        <family val="2"/>
        <scheme val="minor"/>
      </rPr>
      <t xml:space="preserve">. This is modelled on the energy balance format used in tariff determination processes before electricity regulatory commissions. </t>
    </r>
  </si>
  <si>
    <r>
      <t xml:space="preserve">Energy available and Energy requirement calculations for the DISCOM, distribution franchisees as well as open access, off-site captive consumers are shown in the tables labelled </t>
    </r>
    <r>
      <rPr>
        <b/>
        <sz val="12"/>
        <color theme="1"/>
        <rFont val="Calibri"/>
        <family val="2"/>
        <scheme val="minor"/>
      </rPr>
      <t xml:space="preserve">"Energy Available" </t>
    </r>
    <r>
      <rPr>
        <sz val="12"/>
        <color theme="1"/>
        <rFont val="Calibri"/>
        <family val="2"/>
        <scheme val="minor"/>
      </rPr>
      <t>and</t>
    </r>
    <r>
      <rPr>
        <b/>
        <sz val="12"/>
        <color theme="1"/>
        <rFont val="Calibri"/>
        <family val="2"/>
        <scheme val="minor"/>
      </rPr>
      <t xml:space="preserve"> "Energy Requirement”</t>
    </r>
    <r>
      <rPr>
        <sz val="12"/>
        <color theme="1"/>
        <rFont val="Calibri"/>
        <family val="2"/>
        <scheme val="minor"/>
      </rPr>
      <t xml:space="preserve">. This is modelled on the energy balance format used in tariff determination processes before electricity regulatory commissions. </t>
    </r>
  </si>
  <si>
    <r>
      <t xml:space="preserve">Energy available and Energy requirement calculations for the DISCOM, distribution franchisees as well as open access, offsite captive consumers are shown in the tables labelled </t>
    </r>
    <r>
      <rPr>
        <b/>
        <sz val="12"/>
        <color theme="1"/>
        <rFont val="Calibri"/>
        <family val="2"/>
        <scheme val="minor"/>
      </rPr>
      <t xml:space="preserve">"Energy Available" </t>
    </r>
    <r>
      <rPr>
        <sz val="12"/>
        <color theme="1"/>
        <rFont val="Calibri"/>
        <family val="2"/>
        <scheme val="minor"/>
      </rPr>
      <t xml:space="preserve">and </t>
    </r>
    <r>
      <rPr>
        <b/>
        <sz val="12"/>
        <color theme="1"/>
        <rFont val="Calibri"/>
        <family val="2"/>
        <scheme val="minor"/>
      </rPr>
      <t>"Energy Requirement”</t>
    </r>
    <r>
      <rPr>
        <sz val="12"/>
        <color theme="1"/>
        <rFont val="Calibri"/>
        <family val="2"/>
        <scheme val="minor"/>
      </rPr>
      <t xml:space="preserve">. This is modelled on the energy balance format used in tariff determination processes before electricity regulatory commissions. </t>
    </r>
  </si>
  <si>
    <r>
      <t xml:space="preserve">Energy available and Energy requirement calculations for the DISCOM, distribution franchisees as well as open access, offsite captive consumers are shown in the tables labelled </t>
    </r>
    <r>
      <rPr>
        <b/>
        <sz val="12"/>
        <color theme="1"/>
        <rFont val="Calibri"/>
        <family val="2"/>
        <scheme val="minor"/>
      </rPr>
      <t>"Energy Available"</t>
    </r>
    <r>
      <rPr>
        <sz val="12"/>
        <color theme="1"/>
        <rFont val="Calibri"/>
        <family val="2"/>
        <scheme val="minor"/>
      </rPr>
      <t xml:space="preserve"> and </t>
    </r>
    <r>
      <rPr>
        <b/>
        <sz val="12"/>
        <color theme="1"/>
        <rFont val="Calibri"/>
        <family val="2"/>
        <scheme val="minor"/>
      </rPr>
      <t>"Energy Requirement”</t>
    </r>
    <r>
      <rPr>
        <sz val="12"/>
        <color theme="1"/>
        <rFont val="Calibri"/>
        <family val="2"/>
        <scheme val="minor"/>
      </rPr>
      <t xml:space="preserve">. This is modelled on the energy balance format used in tariff determination processes before electricity regulatory commissions. </t>
    </r>
  </si>
  <si>
    <r>
      <t xml:space="preserve">Based on the input and sales calculated in the tables described above, T&amp;D and AT&amp;C losses are calculated in the boxes labelled </t>
    </r>
    <r>
      <rPr>
        <b/>
        <sz val="12"/>
        <color theme="1"/>
        <rFont val="Calibri"/>
        <family val="2"/>
        <scheme val="minor"/>
      </rPr>
      <t>“T&amp;D Loss Estimation”</t>
    </r>
    <r>
      <rPr>
        <sz val="12"/>
        <color theme="1"/>
        <rFont val="Calibri"/>
        <family val="2"/>
        <scheme val="minor"/>
      </rPr>
      <t xml:space="preserve"> and </t>
    </r>
    <r>
      <rPr>
        <b/>
        <sz val="12"/>
        <color theme="1"/>
        <rFont val="Calibri"/>
        <family val="2"/>
        <scheme val="minor"/>
      </rPr>
      <t>“AT&amp;C Loss Estimation”</t>
    </r>
    <r>
      <rPr>
        <sz val="12"/>
        <color theme="1"/>
        <rFont val="Calibri"/>
        <family val="2"/>
        <scheme val="minor"/>
      </rPr>
      <t>.</t>
    </r>
  </si>
  <si>
    <t>Distribution Franchisee (DF)</t>
  </si>
  <si>
    <t>Open Access sales</t>
  </si>
  <si>
    <t xml:space="preserve">Current Practice in many states which includes: </t>
  </si>
  <si>
    <t>Collection Efficiency</t>
  </si>
  <si>
    <t>Spread-sheet based calculator to compare variation in methodologies for calculation of percentage transmission and distribution loss</t>
  </si>
  <si>
    <t>Please enter values in blue cells</t>
  </si>
  <si>
    <t>Under-estimation or Over-estimation of AT&amp;C loss in methodology compared to M1 Energy Handled</t>
  </si>
  <si>
    <t>Overview of the "Inputs &amp; Results" sheet</t>
  </si>
  <si>
    <r>
      <t xml:space="preserve">Check the </t>
    </r>
    <r>
      <rPr>
        <b/>
        <sz val="12"/>
        <color theme="1"/>
        <rFont val="Calibri"/>
        <family val="2"/>
        <scheme val="minor"/>
      </rPr>
      <t>'M1Energy Handled</t>
    </r>
    <r>
      <rPr>
        <sz val="12"/>
        <color theme="1"/>
        <rFont val="Calibri"/>
        <family val="2"/>
        <scheme val="minor"/>
      </rPr>
      <t>' sheet for surplus/deficit. The value of the surplus/deficit in this sheet will remain the same across methodologies.</t>
    </r>
  </si>
  <si>
    <t>AT&amp;C loss (%)</t>
  </si>
  <si>
    <r>
      <t xml:space="preserve">At the end of each methodology sheet i.e. </t>
    </r>
    <r>
      <rPr>
        <b/>
        <sz val="12"/>
        <color theme="1"/>
        <rFont val="Calibri"/>
        <family val="2"/>
        <scheme val="minor"/>
      </rPr>
      <t>'M1Energy Handled'</t>
    </r>
    <r>
      <rPr>
        <sz val="12"/>
        <color theme="1"/>
        <rFont val="Calibri"/>
        <family val="2"/>
        <scheme val="minor"/>
      </rPr>
      <t>,</t>
    </r>
    <r>
      <rPr>
        <b/>
        <sz val="12"/>
        <color theme="1"/>
        <rFont val="Calibri"/>
        <family val="2"/>
        <scheme val="minor"/>
      </rPr>
      <t xml:space="preserve"> 'M2DF'</t>
    </r>
    <r>
      <rPr>
        <sz val="12"/>
        <color theme="1"/>
        <rFont val="Calibri"/>
        <family val="2"/>
        <scheme val="minor"/>
      </rPr>
      <t xml:space="preserve">, </t>
    </r>
    <r>
      <rPr>
        <b/>
        <sz val="12"/>
        <color theme="1"/>
        <rFont val="Calibri"/>
        <family val="2"/>
        <scheme val="minor"/>
      </rPr>
      <t>'M3SM'</t>
    </r>
    <r>
      <rPr>
        <sz val="12"/>
        <color theme="1"/>
        <rFont val="Calibri"/>
        <family val="2"/>
        <scheme val="minor"/>
      </rPr>
      <t xml:space="preserve">, </t>
    </r>
    <r>
      <rPr>
        <b/>
        <sz val="12"/>
        <color theme="1"/>
        <rFont val="Calibri"/>
        <family val="2"/>
        <scheme val="minor"/>
      </rPr>
      <t>'M4PP'</t>
    </r>
    <r>
      <rPr>
        <sz val="12"/>
        <color theme="1"/>
        <rFont val="Calibri"/>
        <family val="2"/>
        <scheme val="minor"/>
      </rPr>
      <t xml:space="preserve"> and </t>
    </r>
    <r>
      <rPr>
        <b/>
        <sz val="12"/>
        <color theme="1"/>
        <rFont val="Calibri"/>
        <family val="2"/>
        <scheme val="minor"/>
      </rPr>
      <t>'M5Current'</t>
    </r>
    <r>
      <rPr>
        <sz val="12"/>
        <color theme="1"/>
        <rFont val="Calibri"/>
        <family val="2"/>
        <scheme val="minor"/>
      </rPr>
      <t xml:space="preserve"> there are notes to help the user understand how the energy and loss accounting process works in that particular methodology. </t>
    </r>
  </si>
  <si>
    <t xml:space="preserve">Renewable Energy (RE) </t>
  </si>
  <si>
    <t>DISCOM Power purchase (incl. DF)</t>
  </si>
  <si>
    <t>Renewable energy</t>
  </si>
  <si>
    <t>Renewable energy procurement</t>
  </si>
  <si>
    <t>The section labelled “Inputs” contains four boxes:</t>
  </si>
  <si>
    <t>The sheet has two sections.</t>
  </si>
  <si>
    <r>
      <t xml:space="preserve">This sheet also contains a bar graph which shows the variation in T&amp;D loss and AT&amp;C loss estimated by other methodologies when compared with </t>
    </r>
    <r>
      <rPr>
        <b/>
        <sz val="12"/>
        <color theme="1"/>
        <rFont val="Calibri"/>
        <family val="2"/>
        <scheme val="minor"/>
      </rPr>
      <t>'M1Energy Handled'</t>
    </r>
    <r>
      <rPr>
        <sz val="12"/>
        <color theme="1"/>
        <rFont val="Calibri"/>
        <family val="2"/>
        <scheme val="minor"/>
      </rPr>
      <t>.</t>
    </r>
  </si>
  <si>
    <t xml:space="preserve">Total Sales Migration </t>
  </si>
  <si>
    <t>Share (%)</t>
  </si>
  <si>
    <r>
      <rPr>
        <b/>
        <sz val="14"/>
        <rFont val="Calibri"/>
        <family val="2"/>
        <scheme val="minor"/>
      </rPr>
      <t xml:space="preserve">Notes to the user
</t>
    </r>
    <r>
      <rPr>
        <b/>
        <sz val="14"/>
        <rFont val="Wingdings 2"/>
        <family val="1"/>
        <charset val="2"/>
      </rPr>
      <t>P</t>
    </r>
    <r>
      <rPr>
        <b/>
        <sz val="10.5"/>
        <rFont val="Calibri"/>
        <family val="2"/>
      </rPr>
      <t xml:space="preserve"> </t>
    </r>
    <r>
      <rPr>
        <sz val="14"/>
        <rFont val="Calibri"/>
        <family val="2"/>
        <scheme val="minor"/>
      </rPr>
      <t xml:space="preserve">This workbook contains seven sheets. 
</t>
    </r>
    <r>
      <rPr>
        <b/>
        <sz val="14"/>
        <rFont val="Wingdings 2"/>
        <family val="1"/>
        <charset val="2"/>
      </rPr>
      <t>P</t>
    </r>
    <r>
      <rPr>
        <sz val="14"/>
        <rFont val="Calibri"/>
        <family val="2"/>
        <scheme val="minor"/>
      </rPr>
      <t xml:space="preserve"> The </t>
    </r>
    <r>
      <rPr>
        <b/>
        <sz val="14"/>
        <rFont val="Calibri"/>
        <family val="2"/>
        <scheme val="minor"/>
      </rPr>
      <t xml:space="preserve">'Instructions' </t>
    </r>
    <r>
      <rPr>
        <sz val="14"/>
        <rFont val="Calibri"/>
        <family val="2"/>
        <scheme val="minor"/>
      </rPr>
      <t xml:space="preserve">sheet provides the user with directions for how to use CLEAR. </t>
    </r>
    <r>
      <rPr>
        <b/>
        <sz val="14"/>
        <rFont val="Calibri"/>
        <family val="2"/>
        <scheme val="minor"/>
      </rPr>
      <t xml:space="preserve">
</t>
    </r>
    <r>
      <rPr>
        <b/>
        <sz val="14"/>
        <rFont val="Wingdings 2"/>
        <family val="1"/>
        <charset val="2"/>
      </rPr>
      <t>P</t>
    </r>
    <r>
      <rPr>
        <b/>
        <sz val="14"/>
        <rFont val="Calibri"/>
        <family val="2"/>
        <scheme val="minor"/>
      </rPr>
      <t xml:space="preserve"> </t>
    </r>
    <r>
      <rPr>
        <sz val="14"/>
        <rFont val="Calibri"/>
        <family val="2"/>
        <scheme val="minor"/>
      </rPr>
      <t>The</t>
    </r>
    <r>
      <rPr>
        <b/>
        <sz val="14"/>
        <rFont val="Calibri"/>
        <family val="2"/>
        <scheme val="minor"/>
      </rPr>
      <t xml:space="preserve"> 'Input &amp; Results' </t>
    </r>
    <r>
      <rPr>
        <sz val="14"/>
        <rFont val="Calibri"/>
        <family val="2"/>
        <scheme val="minor"/>
      </rPr>
      <t xml:space="preserve">sheet is where user can enter values. Based on inputs, the variation in T&amp;D and AT&amp;C loss across methodologies are displayed in the same sheet.
</t>
    </r>
    <r>
      <rPr>
        <b/>
        <sz val="14"/>
        <rFont val="Wingdings 2"/>
        <family val="1"/>
        <charset val="2"/>
      </rPr>
      <t>P</t>
    </r>
    <r>
      <rPr>
        <sz val="14"/>
        <rFont val="Calibri"/>
        <family val="2"/>
        <scheme val="minor"/>
      </rPr>
      <t xml:space="preserve"> Values need to be input in the blue cells of the </t>
    </r>
    <r>
      <rPr>
        <b/>
        <sz val="14"/>
        <rFont val="Calibri"/>
        <family val="2"/>
        <scheme val="minor"/>
      </rPr>
      <t>'Input &amp; Results'</t>
    </r>
    <r>
      <rPr>
        <sz val="14"/>
        <rFont val="Calibri"/>
        <family val="2"/>
        <scheme val="minor"/>
      </rPr>
      <t xml:space="preserve"> sheet. Results in CLEAR are only as good as the input assumptions. Care should be taken to ensure that inputs are accurate and realistic. </t>
    </r>
    <r>
      <rPr>
        <b/>
        <sz val="14"/>
        <rFont val="Calibri"/>
        <family val="2"/>
        <scheme val="minor"/>
      </rPr>
      <t xml:space="preserve">
</t>
    </r>
    <r>
      <rPr>
        <b/>
        <sz val="14"/>
        <rFont val="Wingdings 2"/>
        <family val="1"/>
        <charset val="2"/>
      </rPr>
      <t>P</t>
    </r>
    <r>
      <rPr>
        <sz val="14"/>
        <rFont val="Calibri"/>
        <family val="2"/>
        <scheme val="minor"/>
      </rPr>
      <t xml:space="preserve"> In the</t>
    </r>
    <r>
      <rPr>
        <b/>
        <sz val="14"/>
        <rFont val="Calibri"/>
        <family val="2"/>
        <scheme val="minor"/>
      </rPr>
      <t xml:space="preserve"> 'Input &amp; Results' </t>
    </r>
    <r>
      <rPr>
        <sz val="14"/>
        <rFont val="Calibri"/>
        <family val="2"/>
        <scheme val="minor"/>
      </rPr>
      <t xml:space="preserve">sheet, all values in green font are results and thus can not be edited. The cells which need to be modified due to basic input errors will be highlighted in red. </t>
    </r>
    <r>
      <rPr>
        <b/>
        <sz val="14"/>
        <rFont val="Calibri"/>
        <family val="2"/>
        <scheme val="minor"/>
      </rPr>
      <t xml:space="preserve">
</t>
    </r>
    <r>
      <rPr>
        <b/>
        <sz val="14"/>
        <rFont val="Wingdings 2"/>
        <family val="1"/>
        <charset val="2"/>
      </rPr>
      <t>P</t>
    </r>
    <r>
      <rPr>
        <sz val="14"/>
        <rFont val="Calibri"/>
        <family val="2"/>
        <scheme val="minor"/>
      </rPr>
      <t xml:space="preserve"> The sheets </t>
    </r>
    <r>
      <rPr>
        <b/>
        <sz val="14"/>
        <rFont val="Calibri"/>
        <family val="2"/>
        <scheme val="minor"/>
      </rPr>
      <t>'M1Energy Handled'</t>
    </r>
    <r>
      <rPr>
        <sz val="14"/>
        <rFont val="Calibri"/>
        <family val="2"/>
        <scheme val="minor"/>
      </rPr>
      <t xml:space="preserve">, </t>
    </r>
    <r>
      <rPr>
        <b/>
        <sz val="14"/>
        <rFont val="Calibri"/>
        <family val="2"/>
        <scheme val="minor"/>
      </rPr>
      <t>'M2DF'</t>
    </r>
    <r>
      <rPr>
        <sz val="14"/>
        <rFont val="Calibri"/>
        <family val="2"/>
        <scheme val="minor"/>
      </rPr>
      <t xml:space="preserve">, </t>
    </r>
    <r>
      <rPr>
        <b/>
        <sz val="14"/>
        <rFont val="Calibri"/>
        <family val="2"/>
        <scheme val="minor"/>
      </rPr>
      <t>'M3SM'</t>
    </r>
    <r>
      <rPr>
        <sz val="14"/>
        <rFont val="Calibri"/>
        <family val="2"/>
        <scheme val="minor"/>
      </rPr>
      <t xml:space="preserve">, </t>
    </r>
    <r>
      <rPr>
        <b/>
        <sz val="14"/>
        <rFont val="Calibri"/>
        <family val="2"/>
        <scheme val="minor"/>
      </rPr>
      <t>'M4PP'</t>
    </r>
    <r>
      <rPr>
        <sz val="14"/>
        <rFont val="Calibri"/>
        <family val="2"/>
        <scheme val="minor"/>
      </rPr>
      <t xml:space="preserve"> and</t>
    </r>
    <r>
      <rPr>
        <b/>
        <sz val="14"/>
        <rFont val="Calibri"/>
        <family val="2"/>
        <scheme val="minor"/>
      </rPr>
      <t xml:space="preserve"> 'M5Current'</t>
    </r>
    <r>
      <rPr>
        <sz val="14"/>
        <rFont val="Calibri"/>
        <family val="2"/>
        <scheme val="minor"/>
      </rPr>
      <t xml:space="preserve">  calculate percentage losses. They are protected to prevent inadvertent changes and can be unlocked for modification, if required. 
</t>
    </r>
    <r>
      <rPr>
        <b/>
        <sz val="14"/>
        <rFont val="Calibri"/>
        <family val="2"/>
        <scheme val="minor"/>
      </rPr>
      <t xml:space="preserve">
</t>
    </r>
    <r>
      <rPr>
        <sz val="14"/>
        <rFont val="Calibri"/>
        <family val="2"/>
        <scheme val="minor"/>
      </rPr>
      <t xml:space="preserve">
</t>
    </r>
    <r>
      <rPr>
        <b/>
        <sz val="14"/>
        <rFont val="Calibri"/>
        <family val="2"/>
        <scheme val="minor"/>
      </rPr>
      <t>Details about CLEAR</t>
    </r>
  </si>
  <si>
    <t>Details about CLEAR</t>
  </si>
  <si>
    <t>CLEAR has been developed for research purpose and hence does not take into account specific regulations, methodologies, and terminology of any particular state.</t>
  </si>
  <si>
    <t>Under-estimation or Over-estimation of T&amp;D loss in methodology compared to M1 Energy Handled</t>
  </si>
  <si>
    <t>Results</t>
  </si>
  <si>
    <t>Long-Term Non-Renewable Energy</t>
  </si>
  <si>
    <t>Sales to Consumers in Franchisee Area</t>
  </si>
  <si>
    <t>Input for Sales Migration</t>
  </si>
  <si>
    <t xml:space="preserve">Box 1: Energy Related Assumptions </t>
  </si>
  <si>
    <r>
      <t xml:space="preserve">Box 2 called </t>
    </r>
    <r>
      <rPr>
        <b/>
        <sz val="12"/>
        <color theme="1"/>
        <rFont val="Calibri"/>
        <family val="2"/>
        <scheme val="minor"/>
      </rPr>
      <t>“Loss Assumptions”</t>
    </r>
    <r>
      <rPr>
        <sz val="12"/>
        <color theme="1"/>
        <rFont val="Calibri"/>
        <family val="2"/>
        <scheme val="minor"/>
      </rPr>
      <t xml:space="preserve"> is where the user should enter the percentage loss applicable at various voltage levels.  </t>
    </r>
  </si>
  <si>
    <t>Box 2: Loss Assumptions (%)</t>
  </si>
  <si>
    <t>Box 3: Revenue Related Assumptions (%)</t>
  </si>
  <si>
    <t>Box 4: Sales Migration Inputs</t>
  </si>
  <si>
    <t>Box 5: Loss with change in methodology</t>
  </si>
  <si>
    <t xml:space="preserve">Power purchase consists of long term conventional power (including power purchased from coal, gas and nuclear generating plants) procured by DISCOM segregated based on whether the generator is located in-state or out of state. Intra-state and inter-state losses are applied accordingly. Short-term power procurement to meet any unplanned demand due to variations in demand and supply can be from inter-state and intra-state sources. Renewable energy (RE) power procurement can also be disaggregated as purchase from within and outside the state. RE inputs can also be provided for generation embedded in the distribution networks. These inputs include applicable transmission and distribution losses . Typically, this information is reported in tariff orders and petitions and can be used as is. </t>
  </si>
  <si>
    <t>Energy Balance</t>
  </si>
  <si>
    <t>Break-down of input and sales in energy balance</t>
  </si>
  <si>
    <t>Energy Available: Break-up of input and losses</t>
  </si>
  <si>
    <t xml:space="preserve"> Energy Requirement: Break-up of input, losses and sales</t>
  </si>
  <si>
    <t>Helper</t>
  </si>
  <si>
    <r>
      <t xml:space="preserve"> Based on the input and sales calculated in the tables described above, T&amp;D and AT&amp;C losses are calculated in the tables labelled </t>
    </r>
    <r>
      <rPr>
        <b/>
        <sz val="12"/>
        <color theme="1"/>
        <rFont val="Calibri"/>
        <family val="2"/>
        <scheme val="minor"/>
      </rPr>
      <t>“T&amp;D Loss Estimation”</t>
    </r>
    <r>
      <rPr>
        <sz val="12"/>
        <color theme="1"/>
        <rFont val="Calibri"/>
        <family val="2"/>
        <scheme val="minor"/>
      </rPr>
      <t xml:space="preserve"> and </t>
    </r>
    <r>
      <rPr>
        <b/>
        <sz val="12"/>
        <color theme="1"/>
        <rFont val="Calibri"/>
        <family val="2"/>
        <scheme val="minor"/>
      </rPr>
      <t>“AT&amp;C Loss Estimation”</t>
    </r>
    <r>
      <rPr>
        <sz val="12"/>
        <color theme="1"/>
        <rFont val="Calibri"/>
        <family val="2"/>
        <scheme val="minor"/>
      </rPr>
      <t>.</t>
    </r>
  </si>
  <si>
    <t xml:space="preserve">The sales related inputs consist of sales to the DISCOM’s consumers and sales to distribution franchisees (DFs). It also includes consumption by  open access (OA) and off-site captive entities using the T&amp;D network which is treated together and referred to as sales migration in CLEAR. Therefore, the voltage-wise break-up for open access and off-site captive consumption is considered together in CLEAR and is assumed to take place in the same proportion across voltage levels. 
</t>
  </si>
  <si>
    <t>Total DISCOM 
sale for RE input</t>
  </si>
  <si>
    <t xml:space="preserve">Notional loss:  All RE input 
at EHV level </t>
  </si>
  <si>
    <t>Sales Migration Input</t>
  </si>
  <si>
    <t>Long-Term</t>
  </si>
  <si>
    <t>Renewable Energy Procurement</t>
  </si>
  <si>
    <t>-</t>
  </si>
  <si>
    <t xml:space="preserve">                          -</t>
  </si>
  <si>
    <r>
      <t xml:space="preserve"> In this methodology, the sales to open access and off-site captive consumers and the input required for the same are not considered. Energy Available and Energy requirement calculations for the DISCOM and distribution franchisees are shown in the tables labelled</t>
    </r>
    <r>
      <rPr>
        <b/>
        <sz val="12"/>
        <color theme="1"/>
        <rFont val="Calibri"/>
        <family val="2"/>
        <scheme val="minor"/>
      </rPr>
      <t xml:space="preserve"> "Energy Available" </t>
    </r>
    <r>
      <rPr>
        <sz val="12"/>
        <color theme="1"/>
        <rFont val="Calibri"/>
        <family val="2"/>
        <scheme val="minor"/>
      </rPr>
      <t xml:space="preserve">and </t>
    </r>
    <r>
      <rPr>
        <b/>
        <sz val="12"/>
        <color theme="1"/>
        <rFont val="Calibri"/>
        <family val="2"/>
        <scheme val="minor"/>
      </rPr>
      <t>"Energy Requirement”</t>
    </r>
    <r>
      <rPr>
        <sz val="12"/>
        <color theme="1"/>
        <rFont val="Calibri"/>
        <family val="2"/>
        <scheme val="minor"/>
      </rPr>
      <t xml:space="preserve">. This is modelled on the energy balance format used in tariff determination processes before electricity regulatory commissions. </t>
    </r>
  </si>
  <si>
    <r>
      <t xml:space="preserve">Based on the input and sales calculated in the tables described above, T&amp;D and AT&amp;C losses are calculated in the boxes labelled </t>
    </r>
    <r>
      <rPr>
        <b/>
        <sz val="12"/>
        <color theme="1"/>
        <rFont val="Calibri"/>
        <family val="2"/>
        <scheme val="minor"/>
      </rPr>
      <t>“T&amp;D Loss Estimation”</t>
    </r>
    <r>
      <rPr>
        <sz val="12"/>
        <color theme="1"/>
        <rFont val="Calibri"/>
        <family val="2"/>
        <scheme val="minor"/>
      </rPr>
      <t xml:space="preserve"> and</t>
    </r>
    <r>
      <rPr>
        <b/>
        <sz val="12"/>
        <color theme="1"/>
        <rFont val="Calibri"/>
        <family val="2"/>
        <scheme val="minor"/>
      </rPr>
      <t xml:space="preserve"> “AT&amp;C Loss Estimation”.</t>
    </r>
  </si>
  <si>
    <r>
      <t xml:space="preserve">To understand the losses attributable  to long/medium term, short-term, renewable energy procurement and input for sales migration at each voltage level, please see the table labelled </t>
    </r>
    <r>
      <rPr>
        <b/>
        <sz val="12"/>
        <color theme="1"/>
        <rFont val="Calibri"/>
        <family val="2"/>
        <scheme val="minor"/>
      </rPr>
      <t>“Energy Available: Break-up of input and losses"</t>
    </r>
    <r>
      <rPr>
        <sz val="12"/>
        <color theme="1"/>
        <rFont val="Calibri"/>
        <family val="2"/>
        <scheme val="minor"/>
      </rPr>
      <t xml:space="preserve">. This is different from the analogous table in the </t>
    </r>
    <r>
      <rPr>
        <b/>
        <sz val="12"/>
        <color theme="1"/>
        <rFont val="Calibri"/>
        <family val="2"/>
        <scheme val="minor"/>
      </rPr>
      <t>‘M1 Energy Handled’</t>
    </r>
    <r>
      <rPr>
        <sz val="12"/>
        <color theme="1"/>
        <rFont val="Calibri"/>
        <family val="2"/>
        <scheme val="minor"/>
      </rPr>
      <t xml:space="preserve"> sheet as all RE and short-term procurement are considered at the EHV level. The </t>
    </r>
    <r>
      <rPr>
        <b/>
        <sz val="12"/>
        <color theme="1"/>
        <rFont val="Calibri"/>
        <family val="2"/>
        <scheme val="minor"/>
      </rPr>
      <t xml:space="preserve">“Energy Requirement: Break-up of input, losses and sales” </t>
    </r>
    <r>
      <rPr>
        <sz val="12"/>
        <color theme="1"/>
        <rFont val="Calibri"/>
        <family val="2"/>
        <scheme val="minor"/>
      </rPr>
      <t xml:space="preserve">provides a voltage wise break-up for sales, losses and inputs for sales in DISCOM and franchisee areas and consumption by  open access and off-site captive consumers. </t>
    </r>
  </si>
  <si>
    <r>
      <t>To understand the losses attributable to long/medium term, short-term and renewable energy procurement at each voltage level, please see the table labelled</t>
    </r>
    <r>
      <rPr>
        <b/>
        <sz val="12"/>
        <color theme="1"/>
        <rFont val="Calibri"/>
        <family val="2"/>
        <scheme val="minor"/>
      </rPr>
      <t xml:space="preserve"> “Energy Available: break-up of input and losses”</t>
    </r>
    <r>
      <rPr>
        <sz val="12"/>
        <color theme="1"/>
        <rFont val="Calibri"/>
        <family val="2"/>
        <scheme val="minor"/>
      </rPr>
      <t>. This is different from the analogous table in the ‘M1 Energy Handled’ sheet as all RE and short-term procurement is considered at the EHV level. The</t>
    </r>
    <r>
      <rPr>
        <b/>
        <sz val="12"/>
        <color theme="1"/>
        <rFont val="Calibri"/>
        <family val="2"/>
        <scheme val="minor"/>
      </rPr>
      <t xml:space="preserve"> “Energy Requirement: break-up of input, losses and sales” </t>
    </r>
    <r>
      <rPr>
        <sz val="12"/>
        <color theme="1"/>
        <rFont val="Calibri"/>
        <family val="2"/>
        <scheme val="minor"/>
      </rPr>
      <t xml:space="preserve">provides a voltage wise break-up-up for sales, losses and inputs for sales in DISCOM and franchisee areas.  </t>
    </r>
  </si>
  <si>
    <r>
      <t>To understand the losses attributable  to long/medium term, short-term and renewable energy procurement at each voltage level, please see the table labelled</t>
    </r>
    <r>
      <rPr>
        <b/>
        <sz val="12"/>
        <color theme="1"/>
        <rFont val="Calibri"/>
        <family val="2"/>
        <scheme val="minor"/>
      </rPr>
      <t xml:space="preserve"> “Energy Available: Break-up of input and losses”</t>
    </r>
    <r>
      <rPr>
        <sz val="12"/>
        <color theme="1"/>
        <rFont val="Calibri"/>
        <family val="2"/>
        <scheme val="minor"/>
      </rPr>
      <t xml:space="preserve">. The </t>
    </r>
    <r>
      <rPr>
        <b/>
        <sz val="12"/>
        <color theme="1"/>
        <rFont val="Calibri"/>
        <family val="2"/>
        <scheme val="minor"/>
      </rPr>
      <t>“Energy Requirement: Break-up of input, losses and sales”</t>
    </r>
    <r>
      <rPr>
        <sz val="12"/>
        <color theme="1"/>
        <rFont val="Calibri"/>
        <family val="2"/>
        <scheme val="minor"/>
      </rPr>
      <t xml:space="preserve"> provides a voltage wise break-up for sales, losses and inputs for sales in DISCOM and franchisee areas. </t>
    </r>
  </si>
  <si>
    <r>
      <t xml:space="preserve">To understand the losses attributable  to long/medium term, short-term, renewable energy procurement and input for sales migration at each voltage level, please see the table labelled </t>
    </r>
    <r>
      <rPr>
        <b/>
        <sz val="12"/>
        <color theme="1"/>
        <rFont val="Calibri"/>
        <family val="2"/>
        <scheme val="minor"/>
      </rPr>
      <t>“Energy Available: Break-up of input and losses”</t>
    </r>
    <r>
      <rPr>
        <sz val="12"/>
        <color theme="1"/>
        <rFont val="Calibri"/>
        <family val="2"/>
        <scheme val="minor"/>
      </rPr>
      <t xml:space="preserve">.  The </t>
    </r>
    <r>
      <rPr>
        <b/>
        <sz val="12"/>
        <color theme="1"/>
        <rFont val="Calibri"/>
        <family val="2"/>
        <scheme val="minor"/>
      </rPr>
      <t xml:space="preserve">“Energy Requirement: Break-up of input, losses and sales” </t>
    </r>
    <r>
      <rPr>
        <sz val="12"/>
        <color theme="1"/>
        <rFont val="Calibri"/>
        <family val="2"/>
        <scheme val="minor"/>
      </rPr>
      <t>provides a voltage wise break-up for sales, losses and inputs for sales in DISCOM and franchisee areas and consumption by  open access and off-site captive consumers.</t>
    </r>
  </si>
  <si>
    <r>
      <t>Check whether the cells D5, D18, D23, H17 and H22 in the '</t>
    </r>
    <r>
      <rPr>
        <b/>
        <sz val="12"/>
        <color theme="1"/>
        <rFont val="Calibri"/>
        <family val="2"/>
        <scheme val="minor"/>
      </rPr>
      <t xml:space="preserve">Input &amp; Results' </t>
    </r>
    <r>
      <rPr>
        <sz val="12"/>
        <color theme="1"/>
        <rFont val="Calibri"/>
        <family val="2"/>
        <scheme val="minor"/>
      </rPr>
      <t xml:space="preserve">sheet are shaded red. If so, there is an error and the inputs need to be changed accordingly.    </t>
    </r>
  </si>
  <si>
    <r>
      <t xml:space="preserve">Box 3 called </t>
    </r>
    <r>
      <rPr>
        <b/>
        <sz val="12"/>
        <color theme="1"/>
        <rFont val="Calibri"/>
        <family val="2"/>
        <scheme val="minor"/>
      </rPr>
      <t>"Revenue Related Assumptions"</t>
    </r>
    <r>
      <rPr>
        <sz val="12"/>
        <color theme="1"/>
        <rFont val="Calibri"/>
        <family val="2"/>
        <scheme val="minor"/>
      </rPr>
      <t xml:space="preserve"> is where the user should enter the DISCOM's collection efficiency in percentage terms. The input here should consider revenue received by DISCOMs from franchisees and not the revenue collected by </t>
    </r>
    <r>
      <rPr>
        <sz val="12"/>
        <color theme="3"/>
        <rFont val="Calibri"/>
        <family val="2"/>
        <scheme val="minor"/>
      </rPr>
      <t>the franchisee</t>
    </r>
    <r>
      <rPr>
        <sz val="12"/>
        <color theme="1"/>
        <rFont val="Calibri"/>
        <family val="2"/>
        <scheme val="minor"/>
      </rPr>
      <t xml:space="preserve"> from consumers in franchisee areas. </t>
    </r>
  </si>
  <si>
    <r>
      <t>Box 4 called</t>
    </r>
    <r>
      <rPr>
        <b/>
        <sz val="12"/>
        <color theme="1"/>
        <rFont val="Calibri"/>
        <family val="2"/>
        <scheme val="minor"/>
      </rPr>
      <t xml:space="preserve"> "Sales Migration Assumptions" </t>
    </r>
    <r>
      <rPr>
        <sz val="12"/>
        <color theme="1"/>
        <rFont val="Calibri"/>
        <family val="2"/>
        <scheme val="minor"/>
      </rPr>
      <t xml:space="preserve">is where the user enters sales and input for open access and off-site captive consumption at various voltage levels. The quantum of sales should be entered in million units (MUs) and the percentage of input to meet this demand from various voltage levels also need to </t>
    </r>
    <r>
      <rPr>
        <sz val="12"/>
        <color theme="3"/>
        <rFont val="Calibri"/>
        <family val="2"/>
        <scheme val="minor"/>
      </rPr>
      <t xml:space="preserve">be </t>
    </r>
    <r>
      <rPr>
        <sz val="12"/>
        <color theme="1"/>
        <rFont val="Calibri"/>
        <family val="2"/>
        <scheme val="minor"/>
      </rPr>
      <t xml:space="preserve">specified by the user. </t>
    </r>
  </si>
  <si>
    <r>
      <t xml:space="preserve">To understand the losses attributable  to long/medium term, short-term and </t>
    </r>
    <r>
      <rPr>
        <sz val="12"/>
        <color theme="1"/>
        <rFont val="Calibri (Body)"/>
      </rPr>
      <t>renewable energy</t>
    </r>
    <r>
      <rPr>
        <sz val="12"/>
        <color theme="1"/>
        <rFont val="Calibri"/>
        <family val="2"/>
        <scheme val="minor"/>
      </rPr>
      <t xml:space="preserve"> procurement as well as input for sales migration at each voltage level, please see the table labelled  </t>
    </r>
    <r>
      <rPr>
        <b/>
        <sz val="12"/>
        <color theme="1"/>
        <rFont val="Calibri"/>
        <family val="2"/>
        <scheme val="minor"/>
      </rPr>
      <t>“Energy Available: Break-up of input and losses"</t>
    </r>
    <r>
      <rPr>
        <sz val="12"/>
        <color theme="1"/>
        <rFont val="Calibri"/>
        <family val="2"/>
        <scheme val="minor"/>
      </rPr>
      <t xml:space="preserve">. The </t>
    </r>
    <r>
      <rPr>
        <b/>
        <sz val="12"/>
        <color theme="1"/>
        <rFont val="Calibri"/>
        <family val="2"/>
        <scheme val="minor"/>
      </rPr>
      <t>“Energy Requirement: Break-up of input, losses and sales”</t>
    </r>
    <r>
      <rPr>
        <sz val="12"/>
        <color theme="1"/>
        <rFont val="Calibri"/>
        <family val="2"/>
        <scheme val="minor"/>
      </rPr>
      <t xml:space="preserve">  provides a voltage wise break-up for sales, losses and inputs for sales in DISCOM and franchisee areas and consumption by  open access and off-site captive consumers. </t>
    </r>
  </si>
  <si>
    <t>The information required to be filled in this tool can be found in tariff orders issued by the concerned regulatory commission.</t>
  </si>
  <si>
    <t>Sales at 66kV and above (EHV)</t>
  </si>
  <si>
    <t>Average Rate of losses at LT level</t>
  </si>
  <si>
    <t>Long-Term Conventional</t>
  </si>
  <si>
    <t xml:space="preserve">Short-Term </t>
  </si>
  <si>
    <t xml:space="preserve">Total Energy Available </t>
  </si>
  <si>
    <t xml:space="preserve">Total Energy Requirement </t>
  </si>
  <si>
    <t>Total Energy Requirement</t>
  </si>
  <si>
    <t>Average rate of Inter-state transmission loss</t>
  </si>
  <si>
    <t>Quantum of inter-state transmission loss</t>
  </si>
  <si>
    <t>Average rate of intra-state transmission loss</t>
  </si>
  <si>
    <t>Quantum of intra-state transmission loss</t>
  </si>
  <si>
    <t>Helper 1: Break-up of sales, losses if generator in the distribution/ transmission network</t>
  </si>
  <si>
    <t>Description</t>
  </si>
  <si>
    <r>
      <t>The treatment of inputs and sales in the energy balance formats is based on the voltage-level of the input and the sales. Inputs, especially renewable energy inputs can be due to generation in the transmission network or could be due to generation embedded in the distribution network. This input can be used to meet DISCOM sales or franchisee sales or open access/off-site captive demand could be at any voltage level. The losses need to be accounted for according to the voltage level of input and sales. For inputs at the transmission level, the applicable T&amp;D losses need to be accounted for and for renewable energy generation in the distribution network only the applicable line losses are accounted for. For this purpose, input from generation embedded in the distribution network is assumed to be drawn in proportion of the sales to DISCOM and franchisees at that level after accounting for applicable loss. The sales, at the voltage level, not met by this embedded generation, are met by input from the transmission network. There is a similar treatment for generation in the distribution network to meet sales migration demand at each voltage level. This is detailed in the table labelled</t>
    </r>
    <r>
      <rPr>
        <b/>
        <sz val="12"/>
        <color theme="1"/>
        <rFont val="Calibri"/>
        <family val="2"/>
        <scheme val="minor"/>
      </rPr>
      <t xml:space="preserve"> "Helper 1: Break-up of sales, losses if generator in the distribution/ transmission network"</t>
    </r>
    <r>
      <rPr>
        <sz val="12"/>
        <color theme="1"/>
        <rFont val="Calibri"/>
        <family val="2"/>
        <scheme val="minor"/>
      </rPr>
      <t xml:space="preserve">.  In this methodology, sales to franchisees are considered to happen only at the EHV level. The energy requirement for the distribution franchisees at the EHV level in the </t>
    </r>
    <r>
      <rPr>
        <b/>
        <sz val="12"/>
        <color theme="1"/>
        <rFont val="Calibri"/>
        <family val="2"/>
        <scheme val="minor"/>
      </rPr>
      <t xml:space="preserve">‘M1 Energy Handled’ </t>
    </r>
    <r>
      <rPr>
        <sz val="12"/>
        <color theme="1"/>
        <rFont val="Calibri"/>
        <family val="2"/>
        <scheme val="minor"/>
      </rPr>
      <t>sheet is considered as EHV sales in the franchisee area.</t>
    </r>
  </si>
  <si>
    <r>
      <t xml:space="preserve">The treatment of inputs and sales in the energy balance formats is based on the voltage-level of the input and the sales. Inputs, especially renewable energy inputs can be due to generation in the transmission network or could be due to generation embedded in the distribution network. This input can be used to meet DISCOM sales or franchisee sales at any voltage level. The losses need to be accounted for according to the voltage level of input and sales. For inputs at the transmission level, the applicable T&amp;D losses need to be accounted for and for renewable energy generation in the distribution network only the applicable line losses are accounted for. For this purpose, input from generation embedded in the distribution network is assumed to be drawn in proportion of the sales to DISCOM and franchisees at that level after accounting for applicable loss. The sales, at the voltage level, not met by this embedded generation, are met by input from the transmission network. This is detailed in the table labelled  </t>
    </r>
    <r>
      <rPr>
        <b/>
        <sz val="12"/>
        <color theme="1"/>
        <rFont val="Calibri"/>
        <family val="2"/>
        <scheme val="minor"/>
      </rPr>
      <t xml:space="preserve">"Helper 1: Break-up of sales, losses if generator in the distribution/ transmission network".
</t>
    </r>
  </si>
  <si>
    <r>
      <t xml:space="preserve">The treatment of inputs and sales in the energy balance formats is based on the voltage-level of the input and the sales. Inputs, especially renewable energy inputs can be due to generation in the transmission network or could be due to generation embedded in the distribution network. This input can be used to meet DISCOM sales or franchisee sales or open access/off-site captive demand which could be at any voltage level. The losses need to be accounted for according to the voltage level of input and sales. For inputs at the transmission level, the applicable T&amp;D losses need to be accounted for and for renewable energy generation in the distribution network only the applicable line losses are accounted for. For this purpose, input from generation embedded in the distribution network is assumed to be drawn in proportion of the sales to DISCOM and franchisees at that level after accounting for applicable loss. The sales, at the voltage level, not met by this embedded generation, are met by input from the transmission network. There is a similar treatment for generation in the distribution network to meet sales migration demand at each voltage level. This is detailed in the table labelled </t>
    </r>
    <r>
      <rPr>
        <b/>
        <sz val="12"/>
        <color theme="1"/>
        <rFont val="Calibri"/>
        <family val="2"/>
        <scheme val="minor"/>
      </rPr>
      <t>"Helper 1: Break-up of sales, losses if generator in the distribution/ transmission network".</t>
    </r>
  </si>
  <si>
    <r>
      <t>The treatment of inputs and sales in the energy balance formats is based on the voltage-level of the input and the sales. Inputs, especially renewable energy inputs can be due to generation in the transmission network or could be due to generation embedded in the distribution network. This input can be used to meet DISCOM sales or franchisee sales or open access/off-site captive demand could be at any voltage level. The losses need to be accounted for according to the voltage level of input and sales. For inputs at the transmission level, the applicable T&amp;D losses need to be accounted for and for renewable energy generation in the distribution network only the applicable line losses are accounted for. For this purpose, input from generation embedded in the distribution network is assumed to be drawn in proportion of the sales to DISCOM and franchisees at that level after accounting for applicable loss. The sales, at the voltage level, not met by this embedded generation, are met by input from the transmission network. There is a similar treatment for generation in the distribution network to meet sales migration demand at each voltage level. This is detailed in the table labelled</t>
    </r>
    <r>
      <rPr>
        <b/>
        <sz val="12"/>
        <color theme="1"/>
        <rFont val="Calibri"/>
        <family val="2"/>
        <scheme val="minor"/>
      </rPr>
      <t xml:space="preserve"> "Helper 1: Break-up of sales, losses if generator in the distribution/ transmission network"</t>
    </r>
    <r>
      <rPr>
        <sz val="12"/>
        <color theme="1"/>
        <rFont val="Calibri"/>
        <family val="2"/>
        <scheme val="minor"/>
      </rPr>
      <t xml:space="preserve">. Note that in this methodology, it is assumed that there is no generation from sources embedded in the distribution network.  Thus, the generation and the losses attributable to these sources in the </t>
    </r>
    <r>
      <rPr>
        <b/>
        <sz val="12"/>
        <color theme="1"/>
        <rFont val="Calibri"/>
        <family val="2"/>
        <scheme val="minor"/>
      </rPr>
      <t>‘M1 Energy Handled’</t>
    </r>
    <r>
      <rPr>
        <sz val="12"/>
        <color theme="1"/>
        <rFont val="Calibri"/>
        <family val="2"/>
        <scheme val="minor"/>
      </rPr>
      <t xml:space="preserve"> sheet are now assumed to be at the EHV level. The notional loss which would have been incurred if this power was input at the EHV level, instead of within the distribution network needs to be adjusted. This is calculated in </t>
    </r>
    <r>
      <rPr>
        <b/>
        <sz val="12"/>
        <color theme="1"/>
        <rFont val="Calibri"/>
        <family val="2"/>
        <scheme val="minor"/>
      </rPr>
      <t>“Helper 2: Loss adjustment due to RE input from generators embedded in distribution network”.</t>
    </r>
  </si>
  <si>
    <r>
      <t xml:space="preserve">The treatment of inputs and sales in the energy balance formats is based on the voltage-level of the input and the sales. Inputs, especially renewable energy inputs can be due to generation in the transmission network or could be due to generation embedded in the distribution network. This input can be used to meet DISCOM sales or franchisee sales at any voltage level. The losses need to be accounted for according to the voltage level of input and sales. For inputs at the transmission level, the applicable T&amp;D losses need to be accounted for and for renewable energy generation in the distribution network only the applicable line losses are accounted for. For this purpose, input from generation embedded in the distribution network is assumed to be drawn in proportion of the sales to DISCOM and franchisees at that level after accounting for applicable loss. The sales, at the voltage level, not met by this embedded generation, are met by input from the transmission network. This is detailed in the table labelled </t>
    </r>
    <r>
      <rPr>
        <b/>
        <sz val="12"/>
        <color theme="1"/>
        <rFont val="Calibri"/>
        <family val="2"/>
        <scheme val="minor"/>
      </rPr>
      <t>"Helper 1: Break-up of sales, losses if generator in the distribution/ transmission network"</t>
    </r>
    <r>
      <rPr>
        <sz val="12"/>
        <color theme="1"/>
        <rFont val="Calibri"/>
        <family val="2"/>
        <scheme val="minor"/>
      </rPr>
      <t xml:space="preserve">. In this methodology, sales to franchisees are considered to happen only at the EHV level. The energy requirement for the distribution franchisees at the EHV level in the </t>
    </r>
    <r>
      <rPr>
        <b/>
        <sz val="12"/>
        <color theme="1"/>
        <rFont val="Calibri"/>
        <family val="2"/>
        <scheme val="minor"/>
      </rPr>
      <t>‘M1 Energy Handled’</t>
    </r>
    <r>
      <rPr>
        <sz val="12"/>
        <color theme="1"/>
        <rFont val="Calibri"/>
        <family val="2"/>
        <scheme val="minor"/>
      </rPr>
      <t xml:space="preserve"> sheet is considered as EHV sales in the franchisee area. Note that in this methodology, it is assumed that there is no generation from sources embedded in the distribution network.  Thus, the generation and the losses attributable to these sources in the </t>
    </r>
    <r>
      <rPr>
        <b/>
        <sz val="12"/>
        <color theme="1"/>
        <rFont val="Calibri"/>
        <family val="2"/>
        <scheme val="minor"/>
      </rPr>
      <t>‘M1 Energy Handled’</t>
    </r>
    <r>
      <rPr>
        <sz val="12"/>
        <color theme="1"/>
        <rFont val="Calibri"/>
        <family val="2"/>
        <scheme val="minor"/>
      </rPr>
      <t xml:space="preserve"> sheet are now assumed to be at the EHV level. The notional loss which would have been incurred if this power was input at the EHV level, instead of within the distribution network needs to be adjusted. This is calculated in </t>
    </r>
    <r>
      <rPr>
        <b/>
        <sz val="12"/>
        <color theme="1"/>
        <rFont val="Calibri"/>
        <family val="2"/>
        <scheme val="minor"/>
      </rPr>
      <t>“Helper 2: Loss adjustment due to RE input from generators embedded in distribution network”.</t>
    </r>
  </si>
  <si>
    <r>
      <t xml:space="preserve">The third section labelled </t>
    </r>
    <r>
      <rPr>
        <b/>
        <sz val="12"/>
        <color theme="1"/>
        <rFont val="Calibri"/>
        <family val="2"/>
        <scheme val="minor"/>
      </rPr>
      <t>“Results”</t>
    </r>
    <r>
      <rPr>
        <sz val="12"/>
        <color theme="1"/>
        <rFont val="Calibri"/>
        <family val="2"/>
        <scheme val="minor"/>
      </rPr>
      <t xml:space="preserve"> contains a Box 5 called </t>
    </r>
    <r>
      <rPr>
        <b/>
        <sz val="12"/>
        <color theme="1"/>
        <rFont val="Calibri"/>
        <family val="2"/>
        <scheme val="minor"/>
      </rPr>
      <t>“Loss with change in methodology”</t>
    </r>
    <r>
      <rPr>
        <sz val="12"/>
        <color theme="1"/>
        <rFont val="Calibri"/>
        <family val="2"/>
        <scheme val="minor"/>
      </rPr>
      <t xml:space="preserve"> which shows the calculated Transmission &amp; Distribution (T&amp;D) losses and Aggregate Technical &amp; Commercial  (AT&amp;C) losses (in percentage terms) with different methodologies for a given set of inputs. </t>
    </r>
  </si>
  <si>
    <t>For more details on the methodology, assumptions and the need for comparing methodologies, please see Prayas (Energy Group) report, 'The Percentage Problem: A commentary on the methodologies for estimating Transmission and Distribution loss in Indian regulatory practice' available here: http://www.prayaspune.org/peg/publications/item/407</t>
  </si>
  <si>
    <t xml:space="preserve">Though every effort has been made to make CLEAR user friendly, error-free and accurate, we are happy to receive suggestions and feedback to further improve it. For any comments, suggestions, and questions, please email : energy@prayaspune.org.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</si>
</sst>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_-* #,##0.00_-;\-* #,##0.00_-;_-* &quot;-&quot;??_-;_-@_-"/>
    <numFmt numFmtId="165" formatCode="&quot;ß&quot;#,##0.00_);\(&quot;ß&quot;#,##0.00\)"/>
    <numFmt numFmtId="166" formatCode="0.00_ ;[Red]\-0.00\ "/>
    <numFmt numFmtId="167" formatCode="_ * #,##0.00_ ;_ * \-#,##0.00_ ;_ * &quot;-&quot;??_ ;_ @_ "/>
    <numFmt numFmtId="168" formatCode="0.0000000000000"/>
    <numFmt numFmtId="169" formatCode="0_)"/>
    <numFmt numFmtId="170" formatCode="0.00_)"/>
    <numFmt numFmtId="171" formatCode="[$-409]d\-mmm\-yy;@"/>
    <numFmt numFmtId="172" formatCode="[$-409]dd\-mmm\-yy;@"/>
    <numFmt numFmtId="173" formatCode="[$-409]dd/mmm/yy;@"/>
    <numFmt numFmtId="174" formatCode="[$-409]mmm/yy;@"/>
    <numFmt numFmtId="175" formatCode="_(* #,##0_);_(* \(#,##0\);_(* &quot;-&quot;??_);_(@_)"/>
    <numFmt numFmtId="176" formatCode="_-* #,##0_-;\-* #,##0_-;_-* &quot;-&quot;??_-;_-@_-"/>
    <numFmt numFmtId="177" formatCode="0.0000%"/>
    <numFmt numFmtId="178" formatCode="_-* #,##0.0_-;\-* #,##0.0_-;_-* &quot;-&quot;??_-;_-@_-"/>
  </numFmts>
  <fonts count="8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name val="Calibri"/>
      <family val="2"/>
      <scheme val="minor"/>
    </font>
    <font>
      <i/>
      <sz val="10"/>
      <color rgb="FF000000"/>
      <name val="Calibri"/>
      <family val="2"/>
      <scheme val="minor"/>
    </font>
    <font>
      <sz val="10"/>
      <color rgb="FF000000"/>
      <name val="Calibri"/>
      <family val="2"/>
      <scheme val="minor"/>
    </font>
    <font>
      <i/>
      <sz val="10"/>
      <name val="Calibri"/>
      <family val="2"/>
      <scheme val="minor"/>
    </font>
    <font>
      <i/>
      <sz val="10"/>
      <color theme="1"/>
      <name val="Calibri"/>
      <family val="2"/>
      <scheme val="minor"/>
    </font>
    <font>
      <b/>
      <sz val="10"/>
      <name val="Calibri"/>
      <family val="2"/>
      <scheme val="minor"/>
    </font>
    <font>
      <b/>
      <sz val="10"/>
      <color rgb="FFFF0000"/>
      <name val="Calibri"/>
      <family val="2"/>
      <scheme val="minor"/>
    </font>
    <font>
      <sz val="10"/>
      <name val="Arial"/>
      <family val="2"/>
    </font>
    <font>
      <sz val="11"/>
      <color indexed="8"/>
      <name val="Calibri"/>
      <family val="2"/>
    </font>
    <font>
      <sz val="11"/>
      <color indexed="9"/>
      <name val="Calibri"/>
      <family val="2"/>
    </font>
    <font>
      <sz val="12"/>
      <color theme="0"/>
      <name val="Calibri"/>
      <family val="2"/>
      <scheme val="minor"/>
    </font>
    <font>
      <sz val="11"/>
      <color indexed="20"/>
      <name val="Calibri"/>
      <family val="2"/>
    </font>
    <font>
      <sz val="12"/>
      <name val="Tms Rmn"/>
    </font>
    <font>
      <b/>
      <sz val="11"/>
      <color indexed="52"/>
      <name val="Calibri"/>
      <family val="2"/>
    </font>
    <font>
      <b/>
      <sz val="11"/>
      <color indexed="9"/>
      <name val="Calibri"/>
      <family val="2"/>
    </font>
    <font>
      <sz val="10"/>
      <name val="Helv"/>
    </font>
    <font>
      <sz val="11"/>
      <name val="Arial"/>
      <family val="2"/>
    </font>
    <font>
      <sz val="11"/>
      <color theme="1"/>
      <name val="Calibri"/>
      <family val="2"/>
    </font>
    <font>
      <sz val="12"/>
      <name val="Helv"/>
    </font>
    <font>
      <sz val="11"/>
      <name val="Book Antiqua"/>
      <family val="1"/>
    </font>
    <font>
      <i/>
      <sz val="11"/>
      <color indexed="23"/>
      <name val="Calibri"/>
      <family val="2"/>
    </font>
    <font>
      <b/>
      <sz val="12"/>
      <color indexed="53"/>
      <name val="Times New Roman"/>
      <family val="1"/>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4"/>
      <name val="Helv"/>
    </font>
    <font>
      <sz val="11"/>
      <color indexed="52"/>
      <name val="Calibri"/>
      <family val="2"/>
    </font>
    <font>
      <sz val="11"/>
      <color indexed="60"/>
      <name val="Calibri"/>
      <family val="2"/>
    </font>
    <font>
      <sz val="7"/>
      <name val="Small Fonts"/>
      <family val="2"/>
    </font>
    <font>
      <b/>
      <i/>
      <sz val="16"/>
      <name val="Helv"/>
    </font>
    <font>
      <sz val="9"/>
      <name val="Book Antiqua"/>
      <family val="1"/>
    </font>
    <font>
      <sz val="10"/>
      <name val="Times New Roman"/>
      <family val="1"/>
    </font>
    <font>
      <sz val="10"/>
      <color rgb="FFFF0000"/>
      <name val="Calibri"/>
      <family val="2"/>
      <scheme val="minor"/>
    </font>
    <font>
      <b/>
      <sz val="11"/>
      <color indexed="63"/>
      <name val="Calibri"/>
      <family val="2"/>
    </font>
    <font>
      <sz val="24"/>
      <color indexed="13"/>
      <name val="Helv"/>
    </font>
    <font>
      <b/>
      <sz val="18"/>
      <color indexed="56"/>
      <name val="Cambria"/>
      <family val="2"/>
    </font>
    <font>
      <b/>
      <sz val="11"/>
      <color indexed="8"/>
      <name val="Calibri"/>
      <family val="2"/>
    </font>
    <font>
      <sz val="11"/>
      <color indexed="10"/>
      <name val="Calibri"/>
      <family val="2"/>
    </font>
    <font>
      <b/>
      <sz val="11"/>
      <name val="Calibri"/>
      <family val="2"/>
      <scheme val="minor"/>
    </font>
    <font>
      <sz val="12"/>
      <color theme="1"/>
      <name val="Calibri"/>
      <family val="2"/>
      <scheme val="minor"/>
    </font>
    <font>
      <sz val="11"/>
      <name val="Calibri"/>
      <family val="2"/>
      <scheme val="minor"/>
    </font>
    <font>
      <b/>
      <sz val="11"/>
      <color rgb="FFFF0000"/>
      <name val="Calibri"/>
      <family val="2"/>
      <scheme val="minor"/>
    </font>
    <font>
      <u/>
      <sz val="11"/>
      <color theme="11"/>
      <name val="Calibri"/>
      <family val="2"/>
      <scheme val="minor"/>
    </font>
    <font>
      <sz val="11"/>
      <color theme="1"/>
      <name val="Helvetica Neue"/>
      <family val="2"/>
    </font>
    <font>
      <sz val="14"/>
      <name val="Calibri"/>
      <family val="2"/>
      <scheme val="minor"/>
    </font>
    <font>
      <u/>
      <sz val="11"/>
      <color theme="10"/>
      <name val="Calibri"/>
      <family val="2"/>
      <scheme val="minor"/>
    </font>
    <font>
      <b/>
      <sz val="14"/>
      <name val="Calibri"/>
      <family val="2"/>
      <scheme val="minor"/>
    </font>
    <font>
      <sz val="40"/>
      <color rgb="FFDACCB1"/>
      <name val="AppleGothic Regular"/>
    </font>
    <font>
      <sz val="40"/>
      <color theme="9" tint="0.79998168889431442"/>
      <name val="AppleGothic Regular"/>
    </font>
    <font>
      <sz val="40"/>
      <color rgb="FFFDE9D9"/>
      <name val="AppleGothic Regular"/>
    </font>
    <font>
      <b/>
      <sz val="10"/>
      <color rgb="FF137B1F"/>
      <name val="Calibri"/>
      <family val="2"/>
      <scheme val="minor"/>
    </font>
    <font>
      <b/>
      <sz val="10"/>
      <color rgb="FF159B3B"/>
      <name val="Calibri"/>
      <family val="2"/>
      <scheme val="minor"/>
    </font>
    <font>
      <b/>
      <sz val="14"/>
      <name val="Wingdings 2"/>
      <family val="1"/>
      <charset val="2"/>
    </font>
    <font>
      <b/>
      <sz val="10.5"/>
      <name val="Calibri"/>
      <family val="2"/>
    </font>
    <font>
      <i/>
      <sz val="14"/>
      <name val="Calibri"/>
      <family val="2"/>
      <scheme val="minor"/>
    </font>
    <font>
      <sz val="12"/>
      <name val="Calibri"/>
      <family val="2"/>
    </font>
    <font>
      <b/>
      <sz val="12"/>
      <color theme="1"/>
      <name val="Calibri"/>
      <family val="2"/>
      <scheme val="minor"/>
    </font>
    <font>
      <sz val="12"/>
      <color theme="1"/>
      <name val="Calibri"/>
      <family val="2"/>
    </font>
    <font>
      <b/>
      <sz val="12"/>
      <color theme="1"/>
      <name val="Wingdings 2"/>
      <family val="1"/>
      <charset val="2"/>
    </font>
    <font>
      <i/>
      <sz val="16"/>
      <name val="AppleGothic Regular"/>
    </font>
    <font>
      <i/>
      <sz val="16"/>
      <color theme="9" tint="0.79998168889431442"/>
      <name val="AppleGothic Regular"/>
    </font>
    <font>
      <b/>
      <sz val="14"/>
      <name val="Calibri"/>
      <family val="2"/>
    </font>
    <font>
      <sz val="11"/>
      <color theme="0" tint="-4.9989318521683403E-2"/>
      <name val="Calibri"/>
      <family val="2"/>
      <scheme val="minor"/>
    </font>
    <font>
      <sz val="12"/>
      <color theme="3"/>
      <name val="Calibri"/>
      <family val="2"/>
      <scheme val="minor"/>
    </font>
    <font>
      <sz val="12"/>
      <color theme="1"/>
      <name val="Calibri (Body)"/>
    </font>
    <font>
      <i/>
      <sz val="14"/>
      <color theme="1"/>
      <name val="Calibri"/>
      <family val="2"/>
      <scheme val="minor"/>
    </font>
    <font>
      <sz val="11"/>
      <color theme="10"/>
      <name val="Calibri"/>
      <family val="2"/>
      <scheme val="minor"/>
    </font>
  </fonts>
  <fills count="53">
    <fill>
      <patternFill patternType="none"/>
    </fill>
    <fill>
      <patternFill patternType="gray125"/>
    </fill>
    <fill>
      <patternFill patternType="solid">
        <fgColor rgb="FFFFCC99"/>
      </patternFill>
    </fill>
    <fill>
      <patternFill patternType="solid">
        <fgColor theme="4"/>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5" tint="0.39997558519241921"/>
        <bgColor indexed="64"/>
      </patternFill>
    </fill>
    <fill>
      <patternFill patternType="solid">
        <fgColor theme="0"/>
        <bgColor rgb="FF000000"/>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22"/>
        <bgColor indexed="64"/>
      </patternFill>
    </fill>
    <fill>
      <patternFill patternType="solid">
        <fgColor indexed="13"/>
      </patternFill>
    </fill>
    <fill>
      <patternFill patternType="solid">
        <fgColor indexed="43"/>
      </patternFill>
    </fill>
    <fill>
      <patternFill patternType="solid">
        <fgColor indexed="26"/>
      </patternFill>
    </fill>
    <fill>
      <patternFill patternType="solid">
        <fgColor rgb="FF92D050"/>
      </patternFill>
    </fill>
    <fill>
      <patternFill patternType="solid">
        <fgColor indexed="12"/>
      </patternFill>
    </fill>
    <fill>
      <patternFill patternType="solid">
        <fgColor rgb="FFF9E5AD"/>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B26055"/>
        <bgColor indexed="64"/>
      </patternFill>
    </fill>
    <fill>
      <patternFill patternType="solid">
        <fgColor rgb="FFFDE9D9"/>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7" tint="0.79998168889431442"/>
        <bgColor rgb="FF000000"/>
      </patternFill>
    </fill>
    <fill>
      <patternFill patternType="solid">
        <fgColor theme="8" tint="0.79998168889431442"/>
        <bgColor indexed="64"/>
      </patternFill>
    </fill>
    <fill>
      <patternFill patternType="solid">
        <fgColor theme="4" tint="0.79998168889431442"/>
        <bgColor indexed="64"/>
      </patternFill>
    </fill>
  </fills>
  <borders count="82">
    <border>
      <left/>
      <right/>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bottom style="thin">
        <color rgb="FF7F7F7F"/>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theme="0"/>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top style="medium">
        <color theme="0"/>
      </top>
      <bottom/>
      <diagonal/>
    </border>
    <border>
      <left/>
      <right/>
      <top style="thin">
        <color auto="1"/>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right style="thin">
        <color theme="0" tint="-0.249977111117893"/>
      </right>
      <top/>
      <bottom style="thin">
        <color theme="0" tint="-0.249977111117893"/>
      </bottom>
      <diagonal/>
    </border>
    <border>
      <left style="thin">
        <color theme="0" tint="-0.14999847407452621"/>
      </left>
      <right/>
      <top style="thin">
        <color theme="0" tint="-0.14999847407452621"/>
      </top>
      <bottom style="thin">
        <color theme="0" tint="-0.249977111117893"/>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style="thin">
        <color theme="0" tint="-0.249977111117893"/>
      </top>
      <bottom/>
      <diagonal/>
    </border>
    <border>
      <left/>
      <right style="thin">
        <color theme="0" tint="-0.14999847407452621"/>
      </right>
      <top style="thin">
        <color theme="0" tint="-0.249977111117893"/>
      </top>
      <bottom/>
      <diagonal/>
    </border>
    <border>
      <left style="thin">
        <color theme="0" tint="-0.14999847407452621"/>
      </left>
      <right/>
      <top/>
      <bottom/>
      <diagonal/>
    </border>
    <border>
      <left/>
      <right style="thin">
        <color theme="0" tint="-0.14999847407452621"/>
      </right>
      <top/>
      <bottom/>
      <diagonal/>
    </border>
    <border>
      <left/>
      <right style="thin">
        <color theme="0" tint="-0.14999847407452621"/>
      </right>
      <top style="thin">
        <color theme="0"/>
      </top>
      <bottom/>
      <diagonal/>
    </border>
    <border>
      <left style="thin">
        <color theme="0" tint="-0.14999847407452621"/>
      </left>
      <right/>
      <top/>
      <bottom style="thin">
        <color theme="0" tint="-0.249977111117893"/>
      </bottom>
      <diagonal/>
    </border>
    <border>
      <left/>
      <right style="thin">
        <color theme="0" tint="-0.14999847407452621"/>
      </right>
      <top style="thin">
        <color theme="0"/>
      </top>
      <bottom style="thin">
        <color theme="0" tint="-0.249977111117893"/>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style="thin">
        <color theme="0"/>
      </top>
      <bottom style="thin">
        <color theme="0" tint="-0.14999847407452621"/>
      </bottom>
      <diagonal/>
    </border>
    <border>
      <left/>
      <right style="thin">
        <color theme="0" tint="-0.14999847407452621"/>
      </right>
      <top style="thin">
        <color theme="0" tint="-0.249977111117893"/>
      </top>
      <bottom style="thin">
        <color theme="0"/>
      </bottom>
      <diagonal/>
    </border>
    <border>
      <left/>
      <right style="thin">
        <color theme="0" tint="-0.14999847407452621"/>
      </right>
      <top/>
      <bottom style="thin">
        <color theme="0" tint="-0.249977111117893"/>
      </bottom>
      <diagonal/>
    </border>
    <border>
      <left style="thin">
        <color theme="0" tint="-0.14999847407452621"/>
      </left>
      <right/>
      <top style="thin">
        <color theme="0" tint="-0.14999847407452621"/>
      </top>
      <bottom/>
      <diagonal/>
    </border>
    <border>
      <left/>
      <right style="thin">
        <color theme="0" tint="-0.14999847407452621"/>
      </right>
      <top/>
      <bottom style="thin">
        <color theme="0" tint="-0.14999847407452621"/>
      </bottom>
      <diagonal/>
    </border>
    <border>
      <left/>
      <right style="thin">
        <color theme="0" tint="-0.14999847407452621"/>
      </right>
      <top/>
      <bottom style="thin">
        <color theme="0"/>
      </bottom>
      <diagonal/>
    </border>
    <border>
      <left/>
      <right/>
      <top/>
      <bottom style="thin">
        <color theme="0"/>
      </bottom>
      <diagonal/>
    </border>
    <border>
      <left/>
      <right style="thin">
        <color theme="0" tint="-0.14999847407452621"/>
      </right>
      <top style="thin">
        <color theme="0"/>
      </top>
      <bottom style="thin">
        <color theme="0"/>
      </bottom>
      <diagonal/>
    </border>
    <border>
      <left/>
      <right/>
      <top style="thin">
        <color theme="0"/>
      </top>
      <bottom style="thin">
        <color theme="0"/>
      </bottom>
      <diagonal/>
    </border>
    <border>
      <left style="thin">
        <color theme="0" tint="-0.14999847407452621"/>
      </left>
      <right/>
      <top/>
      <bottom style="medium">
        <color theme="0"/>
      </bottom>
      <diagonal/>
    </border>
    <border>
      <left style="thin">
        <color theme="0" tint="-0.14999847407452621"/>
      </left>
      <right/>
      <top style="medium">
        <color theme="0"/>
      </top>
      <bottom/>
      <diagonal/>
    </border>
    <border>
      <left/>
      <right style="thin">
        <color theme="0" tint="-0.14999847407452621"/>
      </right>
      <top style="medium">
        <color theme="0"/>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auto="1"/>
      </top>
      <bottom/>
      <diagonal/>
    </border>
  </borders>
  <cellStyleXfs count="2312">
    <xf numFmtId="0" fontId="0" fillId="0" borderId="0"/>
    <xf numFmtId="164" fontId="3" fillId="0" borderId="0" applyFont="0" applyFill="0" applyBorder="0" applyAlignment="0" applyProtection="0"/>
    <xf numFmtId="9" fontId="3" fillId="0" borderId="0" applyFont="0" applyFill="0" applyBorder="0" applyAlignment="0" applyProtection="0"/>
    <xf numFmtId="0" fontId="3" fillId="4" borderId="0" applyNumberFormat="0" applyBorder="0" applyAlignment="0" applyProtection="0"/>
    <xf numFmtId="0" fontId="3" fillId="5" borderId="0" applyNumberFormat="0" applyBorder="0" applyAlignment="0" applyProtection="0"/>
    <xf numFmtId="0" fontId="6"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17" fillId="0" borderId="0"/>
    <xf numFmtId="0" fontId="17" fillId="0" borderId="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0" fillId="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2" fillId="0" borderId="0" applyNumberFormat="0" applyFill="0" applyBorder="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3" fillId="31" borderId="8"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4" fillId="32" borderId="9" applyNumberFormat="0" applyAlignment="0" applyProtection="0"/>
    <xf numFmtId="0" fontId="25" fillId="0" borderId="1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8" fillId="0" borderId="0" applyFont="0" applyFill="0" applyBorder="0" applyAlignment="0" applyProtection="0"/>
    <xf numFmtId="43" fontId="2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4"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167" fontId="3" fillId="0" borderId="0" applyFont="0" applyFill="0" applyBorder="0" applyAlignment="0" applyProtection="0"/>
    <xf numFmtId="0" fontId="25" fillId="0" borderId="10"/>
    <xf numFmtId="0" fontId="28" fillId="0" borderId="0"/>
    <xf numFmtId="0" fontId="28" fillId="0" borderId="0"/>
    <xf numFmtId="0" fontId="28"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0" fontId="17" fillId="0" borderId="0"/>
    <xf numFmtId="0" fontId="17" fillId="0" borderId="0"/>
    <xf numFmtId="0" fontId="17" fillId="0" borderId="0"/>
    <xf numFmtId="0" fontId="28" fillId="0" borderId="0"/>
    <xf numFmtId="169" fontId="28" fillId="0" borderId="0">
      <alignment vertical="center"/>
    </xf>
    <xf numFmtId="0" fontId="28" fillId="0" borderId="11"/>
    <xf numFmtId="15" fontId="29" fillId="0" borderId="0" applyFont="0" applyFill="0" applyBorder="0" applyAlignment="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7" fontId="31" fillId="33" borderId="3" applyNumberFormat="0" applyBorder="0">
      <alignment horizontal="center"/>
    </xf>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38" fontId="33" fillId="34" borderId="0" applyNumberFormat="0" applyBorder="0" applyAlignment="0" applyProtection="0"/>
    <xf numFmtId="0" fontId="34" fillId="0" borderId="1" applyNumberFormat="0" applyAlignment="0" applyProtection="0">
      <alignment horizontal="left" vertical="center"/>
    </xf>
    <xf numFmtId="0" fontId="34" fillId="0" borderId="12">
      <alignment horizontal="left" vertical="center"/>
    </xf>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0" fontId="33" fillId="33" borderId="7" applyNumberFormat="0" applyBorder="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8" fillId="18" borderId="8" applyNumberFormat="0" applyAlignment="0" applyProtection="0"/>
    <xf numFmtId="0" fontId="39" fillId="35" borderId="11"/>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37" fontId="42" fillId="0" borderId="0"/>
    <xf numFmtId="170" fontId="43" fillId="0" borderId="0"/>
    <xf numFmtId="0" fontId="17" fillId="0" borderId="0"/>
    <xf numFmtId="0" fontId="3" fillId="0" borderId="0"/>
    <xf numFmtId="0" fontId="3" fillId="0" borderId="0"/>
    <xf numFmtId="0" fontId="3" fillId="0" borderId="0"/>
    <xf numFmtId="0" fontId="17" fillId="0" borderId="0"/>
    <xf numFmtId="171" fontId="3" fillId="0" borderId="0"/>
    <xf numFmtId="171" fontId="3" fillId="0" borderId="0"/>
    <xf numFmtId="171" fontId="3" fillId="0" borderId="0"/>
    <xf numFmtId="171" fontId="3" fillId="0" borderId="0"/>
    <xf numFmtId="172" fontId="3" fillId="0" borderId="0"/>
    <xf numFmtId="173" fontId="3" fillId="0" borderId="0"/>
    <xf numFmtId="166" fontId="3" fillId="0" borderId="0"/>
    <xf numFmtId="0" fontId="17" fillId="0" borderId="0"/>
    <xf numFmtId="0" fontId="17" fillId="0" borderId="0"/>
    <xf numFmtId="0" fontId="17" fillId="0" borderId="0"/>
    <xf numFmtId="0" fontId="3" fillId="0" borderId="0"/>
    <xf numFmtId="0" fontId="17" fillId="0" borderId="0"/>
    <xf numFmtId="0" fontId="3" fillId="0" borderId="0"/>
    <xf numFmtId="0" fontId="44" fillId="0" borderId="0"/>
    <xf numFmtId="0" fontId="3" fillId="0" borderId="0"/>
    <xf numFmtId="174" fontId="3" fillId="0" borderId="0"/>
    <xf numFmtId="165" fontId="3" fillId="0" borderId="0"/>
    <xf numFmtId="0" fontId="17" fillId="0" borderId="0"/>
    <xf numFmtId="174" fontId="3"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xf numFmtId="0" fontId="17" fillId="0" borderId="0"/>
    <xf numFmtId="171" fontId="17" fillId="0" borderId="0"/>
    <xf numFmtId="171" fontId="17" fillId="0" borderId="0"/>
    <xf numFmtId="171" fontId="17" fillId="0" borderId="0"/>
    <xf numFmtId="171" fontId="17" fillId="0" borderId="0"/>
    <xf numFmtId="172" fontId="17" fillId="0" borderId="0"/>
    <xf numFmtId="171" fontId="17" fillId="0" borderId="0"/>
    <xf numFmtId="172" fontId="17" fillId="0" borderId="0"/>
    <xf numFmtId="172" fontId="17" fillId="0" borderId="0"/>
    <xf numFmtId="0" fontId="17" fillId="0" borderId="0"/>
    <xf numFmtId="174" fontId="17" fillId="0" borderId="0"/>
    <xf numFmtId="171" fontId="17" fillId="0" borderId="0"/>
    <xf numFmtId="171" fontId="17" fillId="0" borderId="0"/>
    <xf numFmtId="171" fontId="17" fillId="0" borderId="0"/>
    <xf numFmtId="171" fontId="17" fillId="0" borderId="0"/>
    <xf numFmtId="171" fontId="17" fillId="0" borderId="0"/>
    <xf numFmtId="172"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xf numFmtId="0" fontId="45" fillId="0" borderId="0"/>
    <xf numFmtId="171" fontId="17" fillId="0" borderId="0"/>
    <xf numFmtId="0" fontId="17" fillId="0" borderId="0"/>
    <xf numFmtId="171" fontId="17" fillId="0" borderId="0"/>
    <xf numFmtId="0" fontId="17" fillId="0" borderId="0"/>
    <xf numFmtId="171" fontId="17" fillId="0" borderId="0"/>
    <xf numFmtId="172" fontId="17" fillId="0" borderId="0"/>
    <xf numFmtId="171" fontId="17" fillId="0" borderId="0"/>
    <xf numFmtId="0" fontId="17" fillId="0" borderId="0"/>
    <xf numFmtId="172" fontId="17" fillId="0" borderId="0"/>
    <xf numFmtId="0" fontId="45" fillId="0" borderId="0"/>
    <xf numFmtId="0" fontId="17" fillId="0" borderId="0"/>
    <xf numFmtId="0" fontId="17" fillId="0" borderId="0"/>
    <xf numFmtId="172" fontId="17" fillId="0" borderId="0"/>
    <xf numFmtId="174"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xf numFmtId="174" fontId="2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5" fillId="0" borderId="0"/>
    <xf numFmtId="0" fontId="45" fillId="0" borderId="0"/>
    <xf numFmtId="0" fontId="17" fillId="0" borderId="0"/>
    <xf numFmtId="0" fontId="17" fillId="0" borderId="0"/>
    <xf numFmtId="0" fontId="45" fillId="0" borderId="0"/>
    <xf numFmtId="0" fontId="45" fillId="0" borderId="0"/>
    <xf numFmtId="0" fontId="45" fillId="0" borderId="0"/>
    <xf numFmtId="0" fontId="17" fillId="0" borderId="0" applyFill="0"/>
    <xf numFmtId="0" fontId="3" fillId="0" borderId="0"/>
    <xf numFmtId="0" fontId="3" fillId="0" borderId="0"/>
    <xf numFmtId="0" fontId="3" fillId="0" borderId="0"/>
    <xf numFmtId="0" fontId="17" fillId="0" borderId="0"/>
    <xf numFmtId="0" fontId="3" fillId="0" borderId="0"/>
    <xf numFmtId="174"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27" fillId="0" borderId="0"/>
    <xf numFmtId="0" fontId="17" fillId="0" borderId="0"/>
    <xf numFmtId="0" fontId="3" fillId="0" borderId="0"/>
    <xf numFmtId="0" fontId="17" fillId="0" borderId="0"/>
    <xf numFmtId="0" fontId="17"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17" fillId="0" borderId="0"/>
    <xf numFmtId="0" fontId="27" fillId="0" borderId="0"/>
    <xf numFmtId="0" fontId="45" fillId="0" borderId="0"/>
    <xf numFmtId="0" fontId="3" fillId="0" borderId="0"/>
    <xf numFmtId="0" fontId="18"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xf numFmtId="0" fontId="17" fillId="0" borderId="0"/>
    <xf numFmtId="0" fontId="3" fillId="0" borderId="0"/>
    <xf numFmtId="0" fontId="27" fillId="0" borderId="0"/>
    <xf numFmtId="0" fontId="27" fillId="0" borderId="0"/>
    <xf numFmtId="0" fontId="27" fillId="0" borderId="0"/>
    <xf numFmtId="0" fontId="45"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45" fillId="0" borderId="0"/>
    <xf numFmtId="0" fontId="3" fillId="0" borderId="0"/>
    <xf numFmtId="0" fontId="3" fillId="0" borderId="0"/>
    <xf numFmtId="0" fontId="17" fillId="0" borderId="0"/>
    <xf numFmtId="0" fontId="45" fillId="0" borderId="0"/>
    <xf numFmtId="0" fontId="17" fillId="0" borderId="0"/>
    <xf numFmtId="0" fontId="17" fillId="0" borderId="0"/>
    <xf numFmtId="172" fontId="17" fillId="0" borderId="0"/>
    <xf numFmtId="171" fontId="17" fillId="0" borderId="0"/>
    <xf numFmtId="171" fontId="17" fillId="0" borderId="0"/>
    <xf numFmtId="171" fontId="17" fillId="0" borderId="0"/>
    <xf numFmtId="171" fontId="17" fillId="0" borderId="0"/>
    <xf numFmtId="171" fontId="17" fillId="0" borderId="0"/>
    <xf numFmtId="172" fontId="17" fillId="0" borderId="0"/>
    <xf numFmtId="0" fontId="17" fillId="0" borderId="0"/>
    <xf numFmtId="0" fontId="45" fillId="0" borderId="0"/>
    <xf numFmtId="0" fontId="17" fillId="0" borderId="0"/>
    <xf numFmtId="0" fontId="17" fillId="0" borderId="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0" fontId="17" fillId="37" borderId="17" applyNumberFormat="0" applyFont="0" applyAlignment="0" applyProtection="0"/>
    <xf numFmtId="175" fontId="46" fillId="0" borderId="7"/>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0" fontId="47" fillId="31" borderId="18" applyNumberFormat="0" applyAlignment="0" applyProtection="0"/>
    <xf numFmtId="165" fontId="17" fillId="0" borderId="0" applyFont="0" applyFill="0" applyBorder="0" applyAlignment="0" applyProtection="0"/>
    <xf numFmtId="10" fontId="1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0" fontId="28" fillId="0" borderId="0"/>
    <xf numFmtId="2" fontId="3" fillId="38" borderId="6"/>
    <xf numFmtId="0" fontId="17" fillId="0" borderId="0" applyBorder="0" applyProtection="0"/>
    <xf numFmtId="0" fontId="4" fillId="2" borderId="19"/>
    <xf numFmtId="0" fontId="28" fillId="0" borderId="11"/>
    <xf numFmtId="0" fontId="48" fillId="39"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39" fillId="0" borderId="21"/>
    <xf numFmtId="0" fontId="39" fillId="0" borderId="11"/>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9" fillId="0" borderId="0" applyNumberFormat="0" applyFill="0" applyBorder="0" applyAlignment="0" applyProtection="0"/>
  </cellStyleXfs>
  <cellXfs count="450">
    <xf numFmtId="0" fontId="0" fillId="0" borderId="0" xfId="0"/>
    <xf numFmtId="0" fontId="7" fillId="0" borderId="0" xfId="0" applyFont="1"/>
    <xf numFmtId="0" fontId="7" fillId="0" borderId="0" xfId="0" applyFont="1" applyAlignment="1">
      <alignment wrapText="1"/>
    </xf>
    <xf numFmtId="0" fontId="7" fillId="0" borderId="0" xfId="0" applyFont="1" applyAlignment="1">
      <alignment horizontal="left"/>
    </xf>
    <xf numFmtId="0" fontId="7" fillId="0" borderId="0" xfId="0" applyFont="1" applyAlignment="1"/>
    <xf numFmtId="0" fontId="8" fillId="0" borderId="0" xfId="0" applyFont="1" applyBorder="1" applyAlignment="1">
      <alignment horizontal="center"/>
    </xf>
    <xf numFmtId="0" fontId="0" fillId="0" borderId="0" xfId="0" applyFont="1" applyAlignment="1"/>
    <xf numFmtId="0" fontId="8" fillId="0" borderId="0" xfId="0" applyFont="1" applyBorder="1" applyAlignment="1"/>
    <xf numFmtId="0" fontId="8" fillId="0" borderId="0" xfId="0" applyFont="1" applyFill="1" applyBorder="1" applyAlignment="1"/>
    <xf numFmtId="1" fontId="9" fillId="10" borderId="0" xfId="0" applyNumberFormat="1" applyFont="1" applyFill="1" applyBorder="1" applyAlignment="1"/>
    <xf numFmtId="1" fontId="7" fillId="0" borderId="0" xfId="0" applyNumberFormat="1" applyFont="1" applyAlignment="1"/>
    <xf numFmtId="0" fontId="7" fillId="0" borderId="5" xfId="0" applyFont="1" applyBorder="1" applyAlignment="1"/>
    <xf numFmtId="1" fontId="7" fillId="0" borderId="0" xfId="0" applyNumberFormat="1" applyFont="1" applyBorder="1" applyAlignment="1"/>
    <xf numFmtId="0" fontId="12" fillId="10" borderId="0" xfId="0" applyFont="1" applyFill="1" applyBorder="1" applyAlignment="1">
      <alignment horizontal="left"/>
    </xf>
    <xf numFmtId="0" fontId="10" fillId="0" borderId="0" xfId="0" applyFont="1" applyFill="1" applyBorder="1" applyAlignment="1">
      <alignment horizontal="left"/>
    </xf>
    <xf numFmtId="0" fontId="12" fillId="11" borderId="0" xfId="0" applyFont="1" applyFill="1" applyBorder="1" applyAlignment="1">
      <alignment horizontal="left"/>
    </xf>
    <xf numFmtId="0" fontId="7" fillId="0" borderId="0" xfId="0" applyFont="1" applyBorder="1" applyAlignment="1">
      <alignment horizontal="left"/>
    </xf>
    <xf numFmtId="10" fontId="10" fillId="0" borderId="0" xfId="2" applyNumberFormat="1" applyFont="1" applyFill="1" applyBorder="1" applyAlignment="1">
      <alignment horizontal="left"/>
    </xf>
    <xf numFmtId="2" fontId="7" fillId="0" borderId="0" xfId="0" applyNumberFormat="1" applyFont="1" applyAlignment="1"/>
    <xf numFmtId="0" fontId="7" fillId="11" borderId="0" xfId="7" applyFont="1" applyFill="1" applyBorder="1" applyAlignment="1">
      <alignment horizontal="left"/>
    </xf>
    <xf numFmtId="0" fontId="9" fillId="10" borderId="0" xfId="0" applyFont="1" applyFill="1" applyBorder="1" applyAlignment="1">
      <alignment horizontal="left"/>
    </xf>
    <xf numFmtId="1" fontId="0" fillId="0" borderId="0" xfId="0" applyNumberFormat="1" applyFont="1" applyAlignment="1"/>
    <xf numFmtId="0" fontId="10" fillId="0" borderId="0" xfId="5" applyFont="1" applyFill="1" applyBorder="1" applyAlignment="1"/>
    <xf numFmtId="0" fontId="7" fillId="11" borderId="0" xfId="6" applyFont="1" applyFill="1" applyBorder="1" applyAlignment="1">
      <alignment horizontal="left"/>
    </xf>
    <xf numFmtId="0" fontId="7" fillId="0" borderId="0" xfId="0" applyFont="1" applyBorder="1" applyAlignment="1"/>
    <xf numFmtId="1" fontId="16" fillId="0" borderId="0" xfId="0" applyNumberFormat="1" applyFont="1" applyBorder="1" applyAlignment="1"/>
    <xf numFmtId="0" fontId="0" fillId="0" borderId="0" xfId="0" applyFont="1" applyBorder="1" applyAlignment="1"/>
    <xf numFmtId="164" fontId="7" fillId="0" borderId="0" xfId="1" applyFont="1" applyBorder="1" applyAlignment="1"/>
    <xf numFmtId="0" fontId="10" fillId="0" borderId="0" xfId="4" applyFont="1" applyFill="1" applyBorder="1" applyAlignment="1">
      <alignment horizontal="left"/>
    </xf>
    <xf numFmtId="43" fontId="7" fillId="0" borderId="0" xfId="0" applyNumberFormat="1" applyFont="1" applyBorder="1" applyAlignment="1"/>
    <xf numFmtId="0" fontId="13" fillId="0" borderId="0" xfId="0" applyFont="1" applyFill="1" applyBorder="1" applyAlignment="1">
      <alignment horizontal="right"/>
    </xf>
    <xf numFmtId="0" fontId="7" fillId="0" borderId="0" xfId="0" applyFont="1" applyBorder="1"/>
    <xf numFmtId="1" fontId="7" fillId="0" borderId="0" xfId="0" applyNumberFormat="1" applyFont="1"/>
    <xf numFmtId="1" fontId="0" fillId="0" borderId="0" xfId="0" applyNumberFormat="1"/>
    <xf numFmtId="0" fontId="0" fillId="11" borderId="0" xfId="0" applyFill="1" applyBorder="1"/>
    <xf numFmtId="0" fontId="7" fillId="11" borderId="0" xfId="0" applyFont="1" applyFill="1" applyBorder="1"/>
    <xf numFmtId="0" fontId="0" fillId="0" borderId="0" xfId="0" applyBorder="1"/>
    <xf numFmtId="0" fontId="8" fillId="11" borderId="0" xfId="0" applyFont="1" applyFill="1" applyBorder="1" applyAlignment="1">
      <alignment horizontal="center"/>
    </xf>
    <xf numFmtId="0" fontId="0" fillId="0" borderId="0" xfId="0" applyAlignment="1">
      <alignment wrapText="1"/>
    </xf>
    <xf numFmtId="9" fontId="7" fillId="11" borderId="0" xfId="0" applyNumberFormat="1" applyFont="1" applyFill="1" applyBorder="1"/>
    <xf numFmtId="0" fontId="7" fillId="0" borderId="0" xfId="0" applyFont="1" applyBorder="1" applyAlignment="1">
      <alignment wrapText="1"/>
    </xf>
    <xf numFmtId="9" fontId="7" fillId="11" borderId="0" xfId="2" applyFont="1" applyFill="1" applyBorder="1"/>
    <xf numFmtId="1" fontId="7" fillId="0" borderId="0" xfId="0" applyNumberFormat="1" applyFont="1" applyBorder="1"/>
    <xf numFmtId="0" fontId="0" fillId="11" borderId="0" xfId="0" applyFill="1"/>
    <xf numFmtId="1" fontId="0" fillId="11" borderId="0" xfId="0" applyNumberFormat="1" applyFill="1"/>
    <xf numFmtId="0" fontId="54" fillId="0" borderId="0" xfId="0" applyFont="1" applyAlignment="1">
      <alignment horizontal="center"/>
    </xf>
    <xf numFmtId="0" fontId="7" fillId="0" borderId="0" xfId="0" applyFont="1" applyBorder="1" applyAlignment="1">
      <alignment vertical="center" textRotation="180"/>
    </xf>
    <xf numFmtId="0" fontId="7" fillId="0" borderId="0" xfId="0" applyFont="1" applyFill="1" applyBorder="1" applyAlignment="1"/>
    <xf numFmtId="1" fontId="0" fillId="0" borderId="0" xfId="0" applyNumberFormat="1" applyBorder="1"/>
    <xf numFmtId="0" fontId="54" fillId="0" borderId="0" xfId="0" applyFont="1" applyBorder="1" applyAlignment="1">
      <alignment horizontal="center"/>
    </xf>
    <xf numFmtId="0" fontId="0" fillId="0" borderId="0" xfId="0" applyFont="1" applyBorder="1" applyAlignment="1">
      <alignment horizontal="center"/>
    </xf>
    <xf numFmtId="1" fontId="5" fillId="11" borderId="0" xfId="0" applyNumberFormat="1" applyFont="1" applyFill="1" applyAlignment="1"/>
    <xf numFmtId="0" fontId="0" fillId="11" borderId="0" xfId="0" applyFont="1" applyFill="1" applyAlignment="1"/>
    <xf numFmtId="10" fontId="7" fillId="0" borderId="0" xfId="0" applyNumberFormat="1" applyFont="1" applyAlignment="1"/>
    <xf numFmtId="0" fontId="0" fillId="0" borderId="0" xfId="0" applyFill="1" applyAlignment="1"/>
    <xf numFmtId="0" fontId="0" fillId="0" borderId="0" xfId="0" applyFill="1"/>
    <xf numFmtId="0" fontId="57" fillId="0" borderId="0" xfId="0" applyFont="1" applyFill="1" applyBorder="1" applyAlignment="1">
      <alignment horizontal="left"/>
    </xf>
    <xf numFmtId="0" fontId="57" fillId="0" borderId="0" xfId="0" applyFont="1" applyFill="1" applyBorder="1" applyAlignment="1"/>
    <xf numFmtId="0" fontId="57" fillId="0" borderId="0" xfId="0" applyFont="1" applyFill="1" applyBorder="1"/>
    <xf numFmtId="0" fontId="0" fillId="0" borderId="0" xfId="0" applyFill="1" applyBorder="1" applyAlignment="1"/>
    <xf numFmtId="0" fontId="0" fillId="0" borderId="0" xfId="0" applyFill="1" applyBorder="1"/>
    <xf numFmtId="0" fontId="5" fillId="11" borderId="0" xfId="0" applyFont="1" applyFill="1" applyAlignment="1">
      <alignment horizontal="center"/>
    </xf>
    <xf numFmtId="0" fontId="59" fillId="11" borderId="0" xfId="2311" applyFill="1" applyBorder="1"/>
    <xf numFmtId="0" fontId="53" fillId="0" borderId="0" xfId="0" applyFont="1"/>
    <xf numFmtId="0" fontId="53" fillId="45" borderId="0" xfId="0" applyNumberFormat="1" applyFont="1" applyFill="1" applyAlignment="1">
      <alignment horizontal="center"/>
    </xf>
    <xf numFmtId="0" fontId="53" fillId="45" borderId="0" xfId="0" applyFont="1" applyFill="1"/>
    <xf numFmtId="0" fontId="53" fillId="45" borderId="0" xfId="0" applyFont="1" applyFill="1" applyAlignment="1">
      <alignment horizontal="center"/>
    </xf>
    <xf numFmtId="0" fontId="71" fillId="45" borderId="0" xfId="0" applyFont="1" applyFill="1"/>
    <xf numFmtId="0" fontId="53" fillId="45" borderId="0" xfId="0" applyFont="1" applyFill="1" applyAlignment="1">
      <alignment horizontal="center"/>
    </xf>
    <xf numFmtId="0" fontId="72" fillId="45" borderId="0" xfId="0" applyFont="1" applyFill="1"/>
    <xf numFmtId="0" fontId="53" fillId="45" borderId="0" xfId="0" applyFont="1" applyFill="1" applyBorder="1" applyAlignment="1">
      <alignment horizontal="center"/>
    </xf>
    <xf numFmtId="0" fontId="53" fillId="45" borderId="28" xfId="0" applyFont="1" applyFill="1" applyBorder="1"/>
    <xf numFmtId="0" fontId="72" fillId="45" borderId="0" xfId="0" applyFont="1" applyFill="1" applyBorder="1"/>
    <xf numFmtId="0" fontId="13" fillId="0" borderId="0" xfId="0" applyFont="1" applyFill="1" applyBorder="1" applyAlignment="1">
      <alignment horizontal="right" wrapText="1"/>
    </xf>
    <xf numFmtId="0" fontId="69" fillId="45" borderId="0" xfId="0" applyFont="1" applyFill="1" applyBorder="1" applyAlignment="1">
      <alignment horizontal="left" vertical="center" wrapText="1"/>
    </xf>
    <xf numFmtId="10" fontId="10" fillId="0" borderId="25" xfId="2" applyNumberFormat="1" applyFont="1" applyFill="1" applyBorder="1" applyAlignment="1"/>
    <xf numFmtId="0" fontId="7" fillId="0" borderId="31" xfId="0" applyFont="1" applyBorder="1" applyAlignment="1">
      <alignment horizontal="left"/>
    </xf>
    <xf numFmtId="0" fontId="9" fillId="0" borderId="31" xfId="0" applyFont="1" applyBorder="1" applyAlignment="1"/>
    <xf numFmtId="0" fontId="8" fillId="0" borderId="30" xfId="0" applyFont="1" applyBorder="1" applyAlignment="1"/>
    <xf numFmtId="0" fontId="8" fillId="0" borderId="30" xfId="0" applyFont="1" applyBorder="1" applyAlignment="1">
      <alignment horizontal="left"/>
    </xf>
    <xf numFmtId="0" fontId="8" fillId="0" borderId="23" xfId="0" applyFont="1" applyBorder="1" applyAlignment="1"/>
    <xf numFmtId="0" fontId="9" fillId="10" borderId="29" xfId="0" applyFont="1" applyFill="1" applyBorder="1" applyAlignment="1"/>
    <xf numFmtId="0" fontId="9" fillId="10" borderId="30" xfId="0" applyFont="1" applyFill="1" applyBorder="1" applyAlignment="1">
      <alignment horizontal="left"/>
    </xf>
    <xf numFmtId="0" fontId="11" fillId="10" borderId="24" xfId="0" applyFont="1" applyFill="1" applyBorder="1" applyAlignment="1">
      <alignment horizontal="right"/>
    </xf>
    <xf numFmtId="0" fontId="11" fillId="11" borderId="24" xfId="0" applyFont="1" applyFill="1" applyBorder="1" applyAlignment="1">
      <alignment horizontal="right"/>
    </xf>
    <xf numFmtId="0" fontId="14" fillId="0" borderId="24" xfId="0" applyFont="1" applyBorder="1" applyAlignment="1">
      <alignment horizontal="right"/>
    </xf>
    <xf numFmtId="10" fontId="10" fillId="0" borderId="24" xfId="2" applyNumberFormat="1" applyFont="1" applyFill="1" applyBorder="1" applyAlignment="1"/>
    <xf numFmtId="0" fontId="7" fillId="11" borderId="24" xfId="7" applyFont="1" applyFill="1" applyBorder="1" applyAlignment="1"/>
    <xf numFmtId="0" fontId="9" fillId="0" borderId="26" xfId="0" applyFont="1" applyBorder="1" applyAlignment="1"/>
    <xf numFmtId="0" fontId="8" fillId="0" borderId="29" xfId="0" applyFont="1" applyBorder="1" applyAlignment="1">
      <alignment horizontal="center"/>
    </xf>
    <xf numFmtId="0" fontId="7" fillId="11" borderId="26" xfId="7" applyFont="1" applyFill="1" applyBorder="1" applyAlignment="1"/>
    <xf numFmtId="10" fontId="10" fillId="0" borderId="31" xfId="2" applyNumberFormat="1" applyFont="1" applyFill="1" applyBorder="1" applyAlignment="1">
      <alignment horizontal="left"/>
    </xf>
    <xf numFmtId="0" fontId="0" fillId="0" borderId="30" xfId="0" applyFont="1" applyBorder="1" applyAlignment="1"/>
    <xf numFmtId="0" fontId="7" fillId="0" borderId="31" xfId="0" applyFont="1" applyBorder="1" applyAlignment="1"/>
    <xf numFmtId="0" fontId="7" fillId="0" borderId="30" xfId="0" applyFont="1" applyBorder="1" applyAlignment="1"/>
    <xf numFmtId="0" fontId="7" fillId="0" borderId="30" xfId="0" applyFont="1" applyBorder="1" applyAlignment="1">
      <alignment horizontal="left"/>
    </xf>
    <xf numFmtId="0" fontId="64" fillId="0" borderId="31" xfId="0" applyFont="1" applyBorder="1" applyAlignment="1"/>
    <xf numFmtId="0" fontId="8" fillId="0" borderId="31" xfId="0" applyFont="1" applyBorder="1" applyAlignment="1"/>
    <xf numFmtId="0" fontId="15" fillId="0" borderId="31" xfId="0" applyFont="1" applyFill="1" applyBorder="1" applyAlignment="1">
      <alignment horizontal="left"/>
    </xf>
    <xf numFmtId="0" fontId="10" fillId="0" borderId="30" xfId="5" applyFont="1" applyFill="1" applyBorder="1" applyAlignment="1">
      <alignment horizontal="left"/>
    </xf>
    <xf numFmtId="0" fontId="15" fillId="0" borderId="31" xfId="5" applyFont="1" applyFill="1" applyBorder="1" applyAlignment="1">
      <alignment horizontal="left"/>
    </xf>
    <xf numFmtId="0" fontId="10" fillId="0" borderId="0" xfId="3" applyFont="1" applyFill="1" applyBorder="1" applyAlignment="1"/>
    <xf numFmtId="0" fontId="10" fillId="0" borderId="0" xfId="3" applyFont="1" applyFill="1" applyBorder="1" applyAlignment="1">
      <alignment horizontal="left"/>
    </xf>
    <xf numFmtId="0" fontId="10" fillId="0" borderId="30" xfId="4" applyFont="1" applyFill="1" applyBorder="1" applyAlignment="1">
      <alignment horizontal="left"/>
    </xf>
    <xf numFmtId="0" fontId="15" fillId="0" borderId="31" xfId="4" applyFont="1" applyFill="1" applyBorder="1" applyAlignment="1">
      <alignment horizontal="left"/>
    </xf>
    <xf numFmtId="0" fontId="10" fillId="0" borderId="0" xfId="0" applyFont="1" applyFill="1" applyBorder="1" applyAlignment="1"/>
    <xf numFmtId="10" fontId="10" fillId="0" borderId="0" xfId="2" applyNumberFormat="1" applyFont="1" applyFill="1" applyBorder="1" applyAlignment="1"/>
    <xf numFmtId="0" fontId="10" fillId="0" borderId="29" xfId="0" applyFont="1" applyFill="1" applyBorder="1" applyAlignment="1"/>
    <xf numFmtId="0" fontId="10" fillId="0" borderId="30" xfId="0" applyFont="1" applyFill="1" applyBorder="1" applyAlignment="1">
      <alignment horizontal="left"/>
    </xf>
    <xf numFmtId="0" fontId="13" fillId="0" borderId="24" xfId="0" applyFont="1" applyFill="1" applyBorder="1" applyAlignment="1">
      <alignment horizontal="right"/>
    </xf>
    <xf numFmtId="0" fontId="10" fillId="0" borderId="24" xfId="0" applyFont="1" applyFill="1" applyBorder="1" applyAlignment="1"/>
    <xf numFmtId="0" fontId="15" fillId="0" borderId="26" xfId="0" applyFont="1" applyFill="1" applyBorder="1" applyAlignment="1"/>
    <xf numFmtId="0" fontId="10" fillId="0" borderId="30" xfId="0" applyFont="1" applyFill="1" applyBorder="1" applyAlignment="1"/>
    <xf numFmtId="0" fontId="15" fillId="0" borderId="31" xfId="5" applyFont="1" applyFill="1" applyBorder="1" applyAlignment="1"/>
    <xf numFmtId="0" fontId="10" fillId="0" borderId="0" xfId="4" applyFont="1" applyFill="1" applyBorder="1" applyAlignment="1"/>
    <xf numFmtId="0" fontId="15" fillId="0" borderId="31" xfId="4" applyFont="1" applyFill="1" applyBorder="1" applyAlignment="1"/>
    <xf numFmtId="0" fontId="7" fillId="0" borderId="24" xfId="0" applyFont="1" applyBorder="1" applyAlignment="1"/>
    <xf numFmtId="0" fontId="7" fillId="0" borderId="24" xfId="0" applyFont="1" applyBorder="1" applyAlignment="1">
      <alignment horizontal="right"/>
    </xf>
    <xf numFmtId="0" fontId="7" fillId="0" borderId="26" xfId="0" applyFont="1" applyFill="1" applyBorder="1" applyAlignment="1"/>
    <xf numFmtId="0" fontId="7" fillId="0" borderId="24" xfId="0" applyFont="1" applyFill="1" applyBorder="1" applyAlignment="1"/>
    <xf numFmtId="0" fontId="7" fillId="0" borderId="30" xfId="0" applyFont="1" applyFill="1" applyBorder="1" applyAlignment="1"/>
    <xf numFmtId="0" fontId="10" fillId="0" borderId="24" xfId="5" applyFont="1" applyFill="1" applyBorder="1" applyAlignment="1"/>
    <xf numFmtId="0" fontId="10" fillId="0" borderId="24" xfId="4" applyFont="1" applyFill="1" applyBorder="1" applyAlignment="1"/>
    <xf numFmtId="0" fontId="8" fillId="0" borderId="26" xfId="0" applyFont="1" applyBorder="1" applyAlignment="1"/>
    <xf numFmtId="0" fontId="15" fillId="0" borderId="24" xfId="0" applyFont="1" applyFill="1" applyBorder="1" applyAlignment="1"/>
    <xf numFmtId="0" fontId="15" fillId="0" borderId="0" xfId="0" applyFont="1" applyFill="1" applyBorder="1" applyAlignment="1">
      <alignment horizontal="left"/>
    </xf>
    <xf numFmtId="0" fontId="15" fillId="0" borderId="26" xfId="5" applyFont="1" applyFill="1" applyBorder="1" applyAlignment="1"/>
    <xf numFmtId="0" fontId="10" fillId="0" borderId="24" xfId="3" applyFont="1" applyFill="1" applyBorder="1" applyAlignment="1"/>
    <xf numFmtId="0" fontId="15" fillId="0" borderId="26" xfId="4" applyFont="1" applyFill="1" applyBorder="1" applyAlignment="1"/>
    <xf numFmtId="0" fontId="8" fillId="0" borderId="35" xfId="0" applyFont="1" applyBorder="1" applyAlignment="1">
      <alignment horizontal="center"/>
    </xf>
    <xf numFmtId="0" fontId="8" fillId="0" borderId="36" xfId="0" applyFont="1" applyBorder="1" applyAlignment="1"/>
    <xf numFmtId="0" fontId="8" fillId="0" borderId="36" xfId="0" applyFont="1" applyBorder="1" applyAlignment="1">
      <alignment horizontal="left"/>
    </xf>
    <xf numFmtId="0" fontId="8" fillId="0" borderId="37" xfId="0" applyFont="1" applyBorder="1" applyAlignment="1"/>
    <xf numFmtId="0" fontId="11" fillId="10" borderId="0" xfId="0" applyFont="1" applyFill="1" applyBorder="1" applyAlignment="1">
      <alignment horizontal="right"/>
    </xf>
    <xf numFmtId="0" fontId="15" fillId="0" borderId="0" xfId="5" applyFont="1" applyFill="1" applyBorder="1" applyAlignment="1">
      <alignment horizontal="left"/>
    </xf>
    <xf numFmtId="0" fontId="15" fillId="0" borderId="0" xfId="4" applyFont="1" applyFill="1" applyBorder="1" applyAlignment="1">
      <alignment horizontal="left"/>
    </xf>
    <xf numFmtId="0" fontId="10" fillId="0" borderId="30" xfId="3" applyFont="1" applyFill="1" applyBorder="1" applyAlignment="1">
      <alignment horizontal="left"/>
    </xf>
    <xf numFmtId="0" fontId="15" fillId="0" borderId="0" xfId="0" applyFont="1" applyFill="1" applyBorder="1" applyAlignment="1"/>
    <xf numFmtId="0" fontId="8" fillId="0" borderId="32" xfId="0" applyFont="1" applyBorder="1" applyAlignment="1">
      <alignment horizontal="center"/>
    </xf>
    <xf numFmtId="0" fontId="10" fillId="0" borderId="31" xfId="0" applyFont="1" applyBorder="1" applyAlignment="1">
      <alignment horizontal="left"/>
    </xf>
    <xf numFmtId="0" fontId="65" fillId="0" borderId="31" xfId="0" applyFont="1" applyBorder="1" applyAlignment="1"/>
    <xf numFmtId="0" fontId="0" fillId="0" borderId="0" xfId="0" applyBorder="1" applyAlignment="1">
      <alignment horizontal="center"/>
    </xf>
    <xf numFmtId="0" fontId="53" fillId="40" borderId="0" xfId="0" applyFont="1" applyFill="1" applyBorder="1" applyAlignment="1">
      <alignment vertical="top" wrapText="1"/>
    </xf>
    <xf numFmtId="0" fontId="53" fillId="40" borderId="0" xfId="0" applyFont="1" applyFill="1" applyBorder="1" applyAlignment="1">
      <alignment horizontal="right" vertical="top" wrapText="1"/>
    </xf>
    <xf numFmtId="0" fontId="7" fillId="0" borderId="39" xfId="0" applyFont="1" applyFill="1" applyBorder="1" applyAlignment="1"/>
    <xf numFmtId="0" fontId="0" fillId="11" borderId="0" xfId="0" applyFill="1" applyAlignment="1">
      <alignment wrapText="1"/>
    </xf>
    <xf numFmtId="0" fontId="53" fillId="45" borderId="0" xfId="0" applyFont="1" applyFill="1" applyAlignment="1">
      <alignment horizontal="center"/>
    </xf>
    <xf numFmtId="0" fontId="53" fillId="45" borderId="0" xfId="0" applyFont="1" applyFill="1" applyAlignment="1">
      <alignment horizontal="left" vertical="top" wrapText="1"/>
    </xf>
    <xf numFmtId="0" fontId="53" fillId="45" borderId="0" xfId="0" applyFont="1" applyFill="1" applyAlignment="1">
      <alignment horizontal="center"/>
    </xf>
    <xf numFmtId="0" fontId="5" fillId="0" borderId="0" xfId="0" applyFont="1" applyFill="1" applyBorder="1" applyAlignment="1"/>
    <xf numFmtId="0" fontId="53" fillId="0" borderId="0" xfId="0" applyFont="1" applyFill="1" applyAlignment="1">
      <alignment horizontal="center"/>
    </xf>
    <xf numFmtId="0" fontId="14" fillId="0" borderId="0" xfId="0" applyFont="1" applyFill="1" applyBorder="1" applyAlignment="1">
      <alignment horizontal="right" wrapText="1"/>
    </xf>
    <xf numFmtId="1" fontId="7" fillId="0" borderId="0" xfId="2" applyNumberFormat="1" applyFont="1" applyFill="1" applyBorder="1"/>
    <xf numFmtId="9" fontId="10" fillId="0" borderId="0" xfId="2" applyFont="1" applyFill="1" applyBorder="1" applyAlignment="1">
      <alignment horizontal="center"/>
    </xf>
    <xf numFmtId="0" fontId="53" fillId="45" borderId="0" xfId="0" applyFont="1" applyFill="1" applyAlignment="1">
      <alignment horizontal="center"/>
    </xf>
    <xf numFmtId="0" fontId="7" fillId="0" borderId="44" xfId="0" applyFont="1" applyBorder="1" applyAlignment="1"/>
    <xf numFmtId="0" fontId="5" fillId="0" borderId="0" xfId="0" applyFont="1" applyFill="1" applyAlignment="1"/>
    <xf numFmtId="0" fontId="10" fillId="0" borderId="0" xfId="0" applyFont="1" applyFill="1" applyBorder="1" applyAlignment="1">
      <alignment horizontal="left" wrapText="1"/>
    </xf>
    <xf numFmtId="9" fontId="7" fillId="11" borderId="0" xfId="0" applyNumberFormat="1" applyFont="1" applyFill="1" applyBorder="1" applyAlignment="1">
      <alignment horizontal="left"/>
    </xf>
    <xf numFmtId="9" fontId="14" fillId="11" borderId="0" xfId="0" applyNumberFormat="1" applyFont="1" applyFill="1" applyBorder="1" applyAlignment="1">
      <alignment horizontal="right"/>
    </xf>
    <xf numFmtId="9" fontId="14" fillId="11" borderId="50" xfId="0" applyNumberFormat="1" applyFont="1" applyFill="1" applyBorder="1" applyAlignment="1">
      <alignment horizontal="right"/>
    </xf>
    <xf numFmtId="176" fontId="7" fillId="11" borderId="47" xfId="1" applyNumberFormat="1" applyFont="1" applyFill="1" applyBorder="1"/>
    <xf numFmtId="164" fontId="7" fillId="11" borderId="47" xfId="1" applyFont="1" applyFill="1" applyBorder="1"/>
    <xf numFmtId="0" fontId="0" fillId="0" borderId="47" xfId="0" applyBorder="1"/>
    <xf numFmtId="0" fontId="7" fillId="11" borderId="49" xfId="0" applyFont="1" applyFill="1" applyBorder="1"/>
    <xf numFmtId="0" fontId="71" fillId="45" borderId="0" xfId="0" applyFont="1" applyFill="1" applyAlignment="1"/>
    <xf numFmtId="0" fontId="53" fillId="45" borderId="0" xfId="0" applyFont="1" applyFill="1" applyBorder="1"/>
    <xf numFmtId="0" fontId="53" fillId="45" borderId="28" xfId="0" applyFont="1" applyFill="1" applyBorder="1" applyAlignment="1">
      <alignment horizontal="left" vertical="top" wrapText="1"/>
    </xf>
    <xf numFmtId="0" fontId="0" fillId="0" borderId="0" xfId="0" applyBorder="1" applyAlignment="1">
      <alignment horizontal="center"/>
    </xf>
    <xf numFmtId="0" fontId="76" fillId="11" borderId="0" xfId="0" applyFont="1" applyFill="1"/>
    <xf numFmtId="164" fontId="76" fillId="11" borderId="0" xfId="1" applyFont="1" applyFill="1"/>
    <xf numFmtId="176" fontId="7" fillId="0" borderId="0" xfId="1" applyNumberFormat="1" applyFont="1" applyBorder="1"/>
    <xf numFmtId="0" fontId="5" fillId="43" borderId="51" xfId="0" applyFont="1" applyFill="1" applyBorder="1" applyAlignment="1">
      <alignment horizontal="center"/>
    </xf>
    <xf numFmtId="0" fontId="5" fillId="43" borderId="46" xfId="0" applyFont="1" applyFill="1" applyBorder="1" applyAlignment="1">
      <alignment horizontal="center"/>
    </xf>
    <xf numFmtId="176" fontId="12" fillId="10" borderId="25" xfId="1" applyNumberFormat="1" applyFont="1" applyFill="1" applyBorder="1" applyAlignment="1"/>
    <xf numFmtId="176" fontId="12" fillId="11" borderId="25" xfId="1" applyNumberFormat="1" applyFont="1" applyFill="1" applyBorder="1" applyAlignment="1"/>
    <xf numFmtId="176" fontId="7" fillId="11" borderId="25" xfId="1" applyNumberFormat="1" applyFont="1" applyFill="1" applyBorder="1" applyAlignment="1"/>
    <xf numFmtId="176" fontId="10" fillId="0" borderId="25" xfId="1" applyNumberFormat="1" applyFont="1" applyFill="1" applyBorder="1" applyAlignment="1"/>
    <xf numFmtId="176" fontId="7" fillId="0" borderId="25" xfId="1" applyNumberFormat="1" applyFont="1" applyFill="1" applyBorder="1" applyAlignment="1"/>
    <xf numFmtId="176" fontId="0" fillId="0" borderId="25" xfId="1" applyNumberFormat="1" applyFont="1" applyBorder="1" applyAlignment="1"/>
    <xf numFmtId="176" fontId="0" fillId="0" borderId="23" xfId="1" applyNumberFormat="1" applyFont="1" applyBorder="1" applyAlignment="1"/>
    <xf numFmtId="176" fontId="7" fillId="0" borderId="25" xfId="1" applyNumberFormat="1" applyFont="1" applyBorder="1" applyAlignment="1"/>
    <xf numFmtId="176" fontId="7" fillId="11" borderId="27" xfId="1" applyNumberFormat="1" applyFont="1" applyFill="1" applyBorder="1" applyAlignment="1"/>
    <xf numFmtId="176" fontId="7" fillId="0" borderId="23" xfId="1" applyNumberFormat="1" applyFont="1" applyBorder="1" applyAlignment="1"/>
    <xf numFmtId="176" fontId="7" fillId="11" borderId="27" xfId="1" applyNumberFormat="1" applyFont="1" applyFill="1" applyBorder="1" applyAlignment="1">
      <alignment horizontal="right"/>
    </xf>
    <xf numFmtId="176" fontId="7" fillId="0" borderId="25" xfId="1" applyNumberFormat="1" applyFont="1" applyBorder="1"/>
    <xf numFmtId="176" fontId="7" fillId="11" borderId="27" xfId="1" applyNumberFormat="1" applyFont="1" applyFill="1" applyBorder="1"/>
    <xf numFmtId="176" fontId="10" fillId="0" borderId="23" xfId="1" applyNumberFormat="1" applyFont="1" applyFill="1" applyBorder="1" applyAlignment="1"/>
    <xf numFmtId="176" fontId="10" fillId="11" borderId="25" xfId="1" applyNumberFormat="1" applyFont="1" applyFill="1" applyBorder="1" applyAlignment="1"/>
    <xf numFmtId="178" fontId="0" fillId="0" borderId="0" xfId="1" applyNumberFormat="1" applyFont="1"/>
    <xf numFmtId="178" fontId="7" fillId="0" borderId="0" xfId="1" applyNumberFormat="1" applyFont="1" applyBorder="1" applyAlignment="1">
      <alignment horizontal="center"/>
    </xf>
    <xf numFmtId="178" fontId="7" fillId="0" borderId="25" xfId="1" applyNumberFormat="1" applyFont="1" applyBorder="1" applyAlignment="1">
      <alignment horizontal="center"/>
    </xf>
    <xf numFmtId="178" fontId="7" fillId="0" borderId="31" xfId="1" applyNumberFormat="1" applyFont="1" applyBorder="1" applyAlignment="1">
      <alignment horizontal="center"/>
    </xf>
    <xf numFmtId="178" fontId="7" fillId="0" borderId="27" xfId="1" applyNumberFormat="1" applyFont="1" applyBorder="1" applyAlignment="1">
      <alignment horizontal="center"/>
    </xf>
    <xf numFmtId="178" fontId="0" fillId="0" borderId="0" xfId="1" applyNumberFormat="1" applyFont="1" applyAlignment="1"/>
    <xf numFmtId="178" fontId="7" fillId="0" borderId="0" xfId="1" applyNumberFormat="1" applyFont="1"/>
    <xf numFmtId="176" fontId="0" fillId="0" borderId="0" xfId="1" applyNumberFormat="1" applyFont="1"/>
    <xf numFmtId="176" fontId="8" fillId="0" borderId="0" xfId="1" applyNumberFormat="1" applyFont="1" applyBorder="1" applyAlignment="1">
      <alignment horizontal="center"/>
    </xf>
    <xf numFmtId="176" fontId="8" fillId="0" borderId="0" xfId="1" applyNumberFormat="1" applyFont="1" applyFill="1" applyBorder="1" applyAlignment="1">
      <alignment horizontal="center"/>
    </xf>
    <xf numFmtId="176" fontId="8" fillId="0" borderId="25" xfId="1" applyNumberFormat="1" applyFont="1" applyFill="1" applyBorder="1" applyAlignment="1">
      <alignment horizontal="center"/>
    </xf>
    <xf numFmtId="176" fontId="7" fillId="0" borderId="0" xfId="1" applyNumberFormat="1" applyFont="1" applyBorder="1" applyAlignment="1">
      <alignment horizontal="center"/>
    </xf>
    <xf numFmtId="176" fontId="7" fillId="0" borderId="25" xfId="1" applyNumberFormat="1" applyFont="1" applyBorder="1" applyAlignment="1">
      <alignment horizontal="center"/>
    </xf>
    <xf numFmtId="176" fontId="8" fillId="0" borderId="30" xfId="1" applyNumberFormat="1" applyFont="1" applyBorder="1" applyAlignment="1">
      <alignment horizontal="center"/>
    </xf>
    <xf numFmtId="176" fontId="8" fillId="0" borderId="30" xfId="1" applyNumberFormat="1" applyFont="1" applyFill="1" applyBorder="1" applyAlignment="1">
      <alignment horizontal="center"/>
    </xf>
    <xf numFmtId="176" fontId="8" fillId="0" borderId="23" xfId="1" applyNumberFormat="1" applyFont="1" applyFill="1" applyBorder="1" applyAlignment="1">
      <alignment horizontal="center"/>
    </xf>
    <xf numFmtId="176" fontId="7" fillId="0" borderId="31" xfId="1" applyNumberFormat="1" applyFont="1" applyBorder="1" applyAlignment="1">
      <alignment horizontal="center"/>
    </xf>
    <xf numFmtId="176" fontId="7" fillId="0" borderId="27" xfId="1" applyNumberFormat="1" applyFont="1" applyBorder="1" applyAlignment="1">
      <alignment horizontal="center"/>
    </xf>
    <xf numFmtId="176" fontId="7" fillId="0" borderId="0" xfId="1" applyNumberFormat="1" applyFont="1" applyBorder="1" applyAlignment="1"/>
    <xf numFmtId="176" fontId="0" fillId="0" borderId="0" xfId="1" applyNumberFormat="1" applyFont="1" applyAlignment="1"/>
    <xf numFmtId="176" fontId="7" fillId="0" borderId="0" xfId="1" applyNumberFormat="1" applyFont="1"/>
    <xf numFmtId="178" fontId="7" fillId="0" borderId="24" xfId="1" applyNumberFormat="1" applyFont="1" applyBorder="1" applyAlignment="1">
      <alignment horizontal="center"/>
    </xf>
    <xf numFmtId="178" fontId="7" fillId="0" borderId="26" xfId="1" applyNumberFormat="1" applyFont="1" applyBorder="1" applyAlignment="1">
      <alignment horizontal="center"/>
    </xf>
    <xf numFmtId="178" fontId="0" fillId="0" borderId="0" xfId="1" applyNumberFormat="1" applyFont="1" applyBorder="1"/>
    <xf numFmtId="178" fontId="0" fillId="0" borderId="0" xfId="1" applyNumberFormat="1" applyFont="1" applyBorder="1" applyAlignment="1">
      <alignment horizontal="center"/>
    </xf>
    <xf numFmtId="178" fontId="55" fillId="0" borderId="0" xfId="1" applyNumberFormat="1" applyFont="1" applyFill="1" applyBorder="1"/>
    <xf numFmtId="176" fontId="7" fillId="0" borderId="24" xfId="1" applyNumberFormat="1" applyFont="1" applyBorder="1" applyAlignment="1">
      <alignment horizontal="center"/>
    </xf>
    <xf numFmtId="176" fontId="7" fillId="0" borderId="26" xfId="1" applyNumberFormat="1" applyFont="1" applyBorder="1" applyAlignment="1">
      <alignment horizontal="center"/>
    </xf>
    <xf numFmtId="176" fontId="0" fillId="0" borderId="0" xfId="1" applyNumberFormat="1" applyFont="1" applyBorder="1"/>
    <xf numFmtId="176" fontId="0" fillId="0" borderId="0" xfId="1" applyNumberFormat="1" applyFont="1" applyBorder="1" applyAlignment="1">
      <alignment horizontal="center"/>
    </xf>
    <xf numFmtId="176" fontId="55" fillId="0" borderId="0" xfId="1" applyNumberFormat="1" applyFont="1" applyFill="1" applyBorder="1"/>
    <xf numFmtId="176" fontId="9" fillId="50" borderId="23" xfId="1" applyNumberFormat="1" applyFont="1" applyFill="1" applyBorder="1" applyAlignment="1"/>
    <xf numFmtId="176" fontId="9" fillId="12" borderId="27" xfId="1" applyNumberFormat="1" applyFont="1" applyFill="1" applyBorder="1" applyAlignment="1"/>
    <xf numFmtId="176" fontId="15" fillId="12" borderId="27" xfId="1" applyNumberFormat="1" applyFont="1" applyFill="1" applyBorder="1" applyAlignment="1"/>
    <xf numFmtId="176" fontId="8" fillId="12" borderId="27" xfId="1" applyNumberFormat="1" applyFont="1" applyFill="1" applyBorder="1" applyAlignment="1"/>
    <xf numFmtId="0" fontId="8" fillId="51" borderId="29" xfId="0" applyFont="1" applyFill="1" applyBorder="1" applyAlignment="1"/>
    <xf numFmtId="0" fontId="8" fillId="51" borderId="24" xfId="0" applyFont="1" applyFill="1" applyBorder="1" applyAlignment="1"/>
    <xf numFmtId="0" fontId="8" fillId="51" borderId="29" xfId="0" applyFont="1" applyFill="1" applyBorder="1" applyAlignment="1">
      <alignment horizontal="left"/>
    </xf>
    <xf numFmtId="0" fontId="8" fillId="51" borderId="24" xfId="0" applyFont="1" applyFill="1" applyBorder="1" applyAlignment="1">
      <alignment horizontal="left"/>
    </xf>
    <xf numFmtId="178" fontId="8" fillId="52" borderId="24" xfId="1" applyNumberFormat="1" applyFont="1" applyFill="1" applyBorder="1" applyAlignment="1">
      <alignment horizontal="center"/>
    </xf>
    <xf numFmtId="178" fontId="8" fillId="52" borderId="25" xfId="1" applyNumberFormat="1" applyFont="1" applyFill="1" applyBorder="1" applyAlignment="1">
      <alignment horizontal="center"/>
    </xf>
    <xf numFmtId="178" fontId="8" fillId="52" borderId="0" xfId="1" applyNumberFormat="1" applyFont="1" applyFill="1" applyBorder="1" applyAlignment="1">
      <alignment horizontal="center"/>
    </xf>
    <xf numFmtId="178" fontId="7" fillId="0" borderId="24" xfId="1" applyNumberFormat="1" applyFont="1" applyBorder="1" applyAlignment="1">
      <alignment horizontal="right"/>
    </xf>
    <xf numFmtId="178" fontId="7" fillId="0" borderId="0" xfId="1" applyNumberFormat="1" applyFont="1" applyBorder="1" applyAlignment="1">
      <alignment horizontal="right"/>
    </xf>
    <xf numFmtId="1" fontId="8" fillId="52" borderId="25" xfId="0" applyNumberFormat="1" applyFont="1" applyFill="1" applyBorder="1" applyAlignment="1">
      <alignment horizontal="center"/>
    </xf>
    <xf numFmtId="0" fontId="8" fillId="52" borderId="0" xfId="0" applyFont="1" applyFill="1" applyBorder="1" applyAlignment="1">
      <alignment horizontal="center"/>
    </xf>
    <xf numFmtId="176" fontId="0" fillId="0" borderId="27" xfId="1" applyNumberFormat="1" applyFont="1" applyBorder="1" applyAlignment="1"/>
    <xf numFmtId="176" fontId="7" fillId="0" borderId="23" xfId="1" applyNumberFormat="1" applyFont="1" applyBorder="1"/>
    <xf numFmtId="176" fontId="7" fillId="0" borderId="27" xfId="1" applyNumberFormat="1" applyFont="1" applyBorder="1" applyAlignment="1"/>
    <xf numFmtId="176" fontId="15" fillId="12" borderId="25" xfId="1" applyNumberFormat="1" applyFont="1" applyFill="1" applyBorder="1" applyAlignment="1"/>
    <xf numFmtId="176" fontId="8" fillId="52" borderId="24" xfId="1" applyNumberFormat="1" applyFont="1" applyFill="1" applyBorder="1" applyAlignment="1">
      <alignment horizontal="center"/>
    </xf>
    <xf numFmtId="176" fontId="8" fillId="52" borderId="25" xfId="1" applyNumberFormat="1" applyFont="1" applyFill="1" applyBorder="1" applyAlignment="1">
      <alignment horizontal="center"/>
    </xf>
    <xf numFmtId="176" fontId="8" fillId="52" borderId="0" xfId="1" applyNumberFormat="1" applyFont="1" applyFill="1" applyBorder="1" applyAlignment="1">
      <alignment horizontal="center"/>
    </xf>
    <xf numFmtId="176" fontId="0" fillId="0" borderId="25" xfId="1" applyNumberFormat="1" applyFont="1" applyBorder="1" applyAlignment="1">
      <alignment horizontal="center"/>
    </xf>
    <xf numFmtId="176" fontId="7" fillId="0" borderId="26" xfId="1" applyNumberFormat="1" applyFont="1" applyBorder="1" applyAlignment="1">
      <alignment horizontal="right"/>
    </xf>
    <xf numFmtId="176" fontId="7" fillId="0" borderId="24" xfId="1" applyNumberFormat="1" applyFont="1" applyBorder="1" applyAlignment="1">
      <alignment horizontal="right"/>
    </xf>
    <xf numFmtId="0" fontId="7" fillId="0" borderId="81" xfId="0" applyFont="1" applyBorder="1" applyAlignment="1"/>
    <xf numFmtId="0" fontId="8" fillId="52" borderId="32" xfId="0" applyFont="1" applyFill="1" applyBorder="1" applyAlignment="1"/>
    <xf numFmtId="176" fontId="9" fillId="50" borderId="25" xfId="1" applyNumberFormat="1" applyFont="1" applyFill="1" applyBorder="1" applyAlignment="1"/>
    <xf numFmtId="176" fontId="7" fillId="0" borderId="0" xfId="1" applyNumberFormat="1" applyFont="1" applyBorder="1" applyAlignment="1">
      <alignment horizontal="right"/>
    </xf>
    <xf numFmtId="176" fontId="8" fillId="0" borderId="42" xfId="1" applyNumberFormat="1" applyFont="1" applyBorder="1" applyAlignment="1">
      <alignment horizontal="center"/>
    </xf>
    <xf numFmtId="176" fontId="8" fillId="0" borderId="42" xfId="1" applyNumberFormat="1" applyFont="1" applyFill="1" applyBorder="1" applyAlignment="1">
      <alignment horizontal="center"/>
    </xf>
    <xf numFmtId="176" fontId="8" fillId="0" borderId="81" xfId="1" applyNumberFormat="1" applyFont="1" applyFill="1" applyBorder="1" applyAlignment="1">
      <alignment horizontal="center" wrapText="1"/>
    </xf>
    <xf numFmtId="176" fontId="8" fillId="0" borderId="23" xfId="1" applyNumberFormat="1" applyFont="1" applyFill="1" applyBorder="1" applyAlignment="1">
      <alignment horizontal="center" wrapText="1"/>
    </xf>
    <xf numFmtId="176" fontId="0" fillId="0" borderId="31" xfId="1" applyNumberFormat="1" applyFont="1" applyBorder="1" applyAlignment="1">
      <alignment horizontal="center"/>
    </xf>
    <xf numFmtId="176" fontId="0" fillId="0" borderId="27" xfId="1" applyNumberFormat="1" applyFont="1" applyBorder="1" applyAlignment="1">
      <alignment horizontal="center"/>
    </xf>
    <xf numFmtId="176" fontId="8" fillId="0" borderId="81" xfId="1" applyNumberFormat="1" applyFont="1" applyBorder="1" applyAlignment="1">
      <alignment horizontal="center" wrapText="1"/>
    </xf>
    <xf numFmtId="1" fontId="64" fillId="0" borderId="27" xfId="1" applyNumberFormat="1" applyFont="1" applyBorder="1"/>
    <xf numFmtId="1" fontId="65" fillId="0" borderId="27" xfId="1" applyNumberFormat="1" applyFont="1" applyBorder="1"/>
    <xf numFmtId="0" fontId="53" fillId="40" borderId="0" xfId="0" applyFont="1" applyFill="1" applyBorder="1" applyAlignment="1">
      <alignment vertical="top" wrapText="1"/>
    </xf>
    <xf numFmtId="0" fontId="80" fillId="0" borderId="48" xfId="2311" applyFont="1" applyBorder="1"/>
    <xf numFmtId="0" fontId="7" fillId="0" borderId="33" xfId="0" applyFont="1" applyBorder="1" applyAlignment="1">
      <alignment horizontal="left"/>
    </xf>
    <xf numFmtId="0" fontId="7" fillId="0" borderId="34" xfId="0" applyFont="1" applyFill="1" applyBorder="1" applyAlignment="1">
      <alignment horizontal="left"/>
    </xf>
    <xf numFmtId="0" fontId="7" fillId="0" borderId="24" xfId="0" applyFont="1" applyBorder="1" applyAlignment="1">
      <alignment horizontal="left"/>
    </xf>
    <xf numFmtId="0" fontId="7" fillId="0" borderId="26" xfId="0" applyFont="1" applyFill="1" applyBorder="1" applyAlignment="1">
      <alignment horizontal="left"/>
    </xf>
    <xf numFmtId="0" fontId="7" fillId="0" borderId="34" xfId="0" applyFont="1" applyBorder="1" applyAlignment="1">
      <alignment horizontal="left"/>
    </xf>
    <xf numFmtId="0" fontId="7" fillId="0" borderId="26" xfId="0" applyFont="1" applyBorder="1" applyAlignment="1">
      <alignment horizontal="left"/>
    </xf>
    <xf numFmtId="0" fontId="8" fillId="0" borderId="0" xfId="0" applyFont="1" applyBorder="1" applyAlignment="1">
      <alignment wrapText="1"/>
    </xf>
    <xf numFmtId="0" fontId="7" fillId="0" borderId="33" xfId="0" applyFont="1" applyFill="1" applyBorder="1" applyAlignment="1">
      <alignment horizontal="left"/>
    </xf>
    <xf numFmtId="0" fontId="7" fillId="0" borderId="24" xfId="0" applyFont="1" applyFill="1" applyBorder="1" applyAlignment="1">
      <alignment horizontal="left"/>
    </xf>
    <xf numFmtId="0" fontId="7" fillId="0" borderId="22" xfId="0" applyFont="1" applyBorder="1" applyAlignment="1"/>
    <xf numFmtId="9" fontId="10" fillId="11" borderId="80" xfId="0" applyNumberFormat="1" applyFont="1" applyFill="1" applyBorder="1" applyAlignment="1" applyProtection="1">
      <alignment horizontal="center" vertical="center"/>
    </xf>
    <xf numFmtId="9" fontId="10" fillId="0" borderId="58" xfId="2" applyFont="1" applyFill="1" applyBorder="1" applyAlignment="1" applyProtection="1">
      <alignment horizontal="center"/>
      <protection locked="0"/>
    </xf>
    <xf numFmtId="10" fontId="64" fillId="0" borderId="47" xfId="0" applyNumberFormat="1" applyFont="1" applyBorder="1" applyAlignment="1" applyProtection="1">
      <alignment horizontal="center" wrapText="1"/>
    </xf>
    <xf numFmtId="9" fontId="10" fillId="0" borderId="68" xfId="2" applyFont="1" applyFill="1" applyBorder="1" applyAlignment="1" applyProtection="1">
      <alignment horizontal="center" wrapText="1"/>
    </xf>
    <xf numFmtId="9" fontId="10" fillId="0" borderId="68" xfId="2" applyFont="1" applyFill="1" applyBorder="1" applyAlignment="1" applyProtection="1">
      <alignment horizontal="center"/>
    </xf>
    <xf numFmtId="0" fontId="5" fillId="41" borderId="59" xfId="0" applyFont="1" applyFill="1" applyBorder="1" applyAlignment="1" applyProtection="1">
      <protection locked="0"/>
    </xf>
    <xf numFmtId="0" fontId="5" fillId="41" borderId="0" xfId="0" applyFont="1" applyFill="1" applyBorder="1" applyAlignment="1" applyProtection="1">
      <alignment horizontal="center"/>
      <protection locked="0"/>
    </xf>
    <xf numFmtId="0" fontId="5" fillId="41" borderId="60" xfId="0" applyFont="1" applyFill="1" applyBorder="1" applyAlignment="1" applyProtection="1">
      <protection locked="0"/>
    </xf>
    <xf numFmtId="0" fontId="8" fillId="11" borderId="0" xfId="0" applyFont="1" applyFill="1" applyBorder="1" applyAlignment="1" applyProtection="1">
      <alignment horizontal="center"/>
      <protection locked="0"/>
    </xf>
    <xf numFmtId="0" fontId="15" fillId="0" borderId="78" xfId="0" applyFont="1" applyFill="1" applyBorder="1" applyAlignment="1" applyProtection="1">
      <alignment horizontal="left"/>
      <protection locked="0"/>
    </xf>
    <xf numFmtId="176" fontId="15" fillId="42" borderId="79" xfId="1" applyNumberFormat="1" applyFont="1" applyFill="1" applyBorder="1" applyAlignment="1" applyProtection="1">
      <alignment wrapText="1"/>
      <protection locked="0"/>
    </xf>
    <xf numFmtId="9" fontId="7" fillId="11" borderId="0" xfId="0" applyNumberFormat="1" applyFont="1" applyFill="1" applyBorder="1" applyProtection="1">
      <protection locked="0"/>
    </xf>
    <xf numFmtId="0" fontId="7" fillId="0" borderId="59" xfId="0" applyFont="1" applyBorder="1" applyAlignment="1" applyProtection="1">
      <alignment horizontal="right" wrapText="1"/>
      <protection locked="0"/>
    </xf>
    <xf numFmtId="0" fontId="15" fillId="11" borderId="57" xfId="0" applyFont="1" applyFill="1" applyBorder="1" applyAlignment="1" applyProtection="1">
      <alignment wrapText="1"/>
      <protection locked="0"/>
    </xf>
    <xf numFmtId="176" fontId="15" fillId="11" borderId="52" xfId="1" applyNumberFormat="1" applyFont="1" applyFill="1" applyBorder="1" applyAlignment="1" applyProtection="1">
      <alignment wrapText="1"/>
      <protection locked="0"/>
    </xf>
    <xf numFmtId="9" fontId="7" fillId="42" borderId="67" xfId="2" applyNumberFormat="1" applyFont="1" applyFill="1" applyBorder="1" applyAlignment="1" applyProtection="1">
      <alignment horizontal="center" wrapText="1"/>
      <protection locked="0"/>
    </xf>
    <xf numFmtId="0" fontId="7" fillId="0" borderId="59" xfId="0" applyFont="1" applyBorder="1" applyAlignment="1" applyProtection="1">
      <alignment horizontal="right"/>
      <protection locked="0"/>
    </xf>
    <xf numFmtId="0" fontId="13" fillId="0" borderId="59" xfId="0" applyFont="1" applyFill="1" applyBorder="1" applyAlignment="1" applyProtection="1">
      <alignment horizontal="right" wrapText="1"/>
      <protection locked="0"/>
    </xf>
    <xf numFmtId="176" fontId="10" fillId="0" borderId="0" xfId="1" applyNumberFormat="1" applyFont="1" applyFill="1" applyBorder="1" applyAlignment="1" applyProtection="1">
      <alignment wrapText="1"/>
      <protection locked="0"/>
    </xf>
    <xf numFmtId="9" fontId="10" fillId="42" borderId="60" xfId="2" applyNumberFormat="1" applyFont="1" applyFill="1" applyBorder="1" applyAlignment="1" applyProtection="1">
      <alignment horizontal="center" wrapText="1"/>
      <protection locked="0"/>
    </xf>
    <xf numFmtId="0" fontId="13" fillId="0" borderId="62" xfId="0" applyFont="1" applyFill="1" applyBorder="1" applyAlignment="1" applyProtection="1">
      <alignment horizontal="right" wrapText="1"/>
      <protection locked="0"/>
    </xf>
    <xf numFmtId="176" fontId="10" fillId="0" borderId="50" xfId="1" applyNumberFormat="1" applyFont="1" applyFill="1" applyBorder="1" applyAlignment="1" applyProtection="1">
      <alignment wrapText="1"/>
      <protection locked="0"/>
    </xf>
    <xf numFmtId="0" fontId="7" fillId="11" borderId="0" xfId="0" applyFont="1" applyFill="1" applyBorder="1" applyProtection="1">
      <protection locked="0"/>
    </xf>
    <xf numFmtId="176" fontId="15" fillId="11" borderId="52" xfId="1" applyNumberFormat="1" applyFont="1" applyFill="1" applyBorder="1" applyAlignment="1" applyProtection="1">
      <alignment horizontal="right"/>
      <protection locked="0"/>
    </xf>
    <xf numFmtId="9" fontId="15" fillId="42" borderId="58" xfId="2" applyNumberFormat="1" applyFont="1" applyFill="1" applyBorder="1" applyAlignment="1" applyProtection="1">
      <alignment horizontal="center"/>
      <protection locked="0"/>
    </xf>
    <xf numFmtId="9" fontId="7" fillId="11" borderId="0" xfId="2" applyFont="1" applyFill="1" applyBorder="1" applyProtection="1">
      <protection locked="0"/>
    </xf>
    <xf numFmtId="0" fontId="7" fillId="0" borderId="64" xfId="0" applyFont="1" applyBorder="1" applyAlignment="1" applyProtection="1">
      <alignment horizontal="right"/>
      <protection locked="0"/>
    </xf>
    <xf numFmtId="176" fontId="7" fillId="0" borderId="0" xfId="1" applyNumberFormat="1" applyFont="1" applyBorder="1" applyProtection="1">
      <protection locked="0"/>
    </xf>
    <xf numFmtId="9" fontId="54" fillId="42" borderId="61" xfId="2" applyFont="1" applyFill="1" applyBorder="1" applyAlignment="1" applyProtection="1">
      <alignment horizontal="center"/>
      <protection locked="0"/>
    </xf>
    <xf numFmtId="0" fontId="0" fillId="11" borderId="0" xfId="0" applyFill="1" applyProtection="1">
      <protection locked="0"/>
    </xf>
    <xf numFmtId="176" fontId="7" fillId="0" borderId="50" xfId="1" applyNumberFormat="1" applyFont="1" applyBorder="1" applyProtection="1">
      <protection locked="0"/>
    </xf>
    <xf numFmtId="0" fontId="15" fillId="11" borderId="57" xfId="0" applyFont="1" applyFill="1" applyBorder="1" applyProtection="1">
      <protection locked="0"/>
    </xf>
    <xf numFmtId="176" fontId="15" fillId="11" borderId="52" xfId="1" applyNumberFormat="1" applyFont="1" applyFill="1" applyBorder="1" applyProtection="1">
      <protection locked="0"/>
    </xf>
    <xf numFmtId="9" fontId="7" fillId="0" borderId="64" xfId="2" applyFont="1" applyFill="1" applyBorder="1" applyAlignment="1" applyProtection="1">
      <alignment horizontal="right" wrapText="1"/>
      <protection locked="0"/>
    </xf>
    <xf numFmtId="9" fontId="54" fillId="42" borderId="61" xfId="2" applyNumberFormat="1" applyFont="1" applyFill="1" applyBorder="1" applyAlignment="1" applyProtection="1">
      <alignment horizontal="center"/>
      <protection locked="0"/>
    </xf>
    <xf numFmtId="164" fontId="7" fillId="11" borderId="0" xfId="1" applyFont="1" applyFill="1" applyBorder="1" applyProtection="1">
      <protection locked="0"/>
    </xf>
    <xf numFmtId="0" fontId="0" fillId="11" borderId="0" xfId="0" applyFill="1" applyBorder="1" applyProtection="1">
      <protection locked="0"/>
    </xf>
    <xf numFmtId="0" fontId="5" fillId="41" borderId="54" xfId="0" applyFont="1" applyFill="1" applyBorder="1" applyAlignment="1" applyProtection="1">
      <alignment horizontal="center"/>
      <protection locked="0"/>
    </xf>
    <xf numFmtId="0" fontId="5" fillId="41" borderId="55" xfId="0" applyFont="1" applyFill="1" applyBorder="1" applyAlignment="1" applyProtection="1">
      <alignment horizontal="center"/>
      <protection locked="0"/>
    </xf>
    <xf numFmtId="0" fontId="5" fillId="41" borderId="56" xfId="0" applyFont="1" applyFill="1" applyBorder="1" applyAlignment="1" applyProtection="1">
      <protection locked="0"/>
    </xf>
    <xf numFmtId="0" fontId="14" fillId="0" borderId="59" xfId="0" applyFont="1" applyBorder="1" applyAlignment="1" applyProtection="1">
      <alignment horizontal="right" wrapText="1"/>
      <protection locked="0"/>
    </xf>
    <xf numFmtId="9" fontId="10" fillId="42" borderId="61" xfId="0" applyNumberFormat="1" applyFont="1" applyFill="1" applyBorder="1" applyAlignment="1" applyProtection="1">
      <alignment horizontal="center" vertical="center"/>
      <protection locked="0"/>
    </xf>
    <xf numFmtId="0" fontId="10" fillId="11" borderId="57" xfId="0" applyFont="1" applyFill="1" applyBorder="1" applyAlignment="1" applyProtection="1">
      <alignment horizontal="left"/>
      <protection locked="0"/>
    </xf>
    <xf numFmtId="176" fontId="10" fillId="42" borderId="52" xfId="1" applyNumberFormat="1" applyFont="1" applyFill="1" applyBorder="1" applyAlignment="1" applyProtection="1">
      <protection locked="0"/>
    </xf>
    <xf numFmtId="177" fontId="7" fillId="11" borderId="0" xfId="2" applyNumberFormat="1" applyFont="1" applyFill="1" applyBorder="1" applyProtection="1">
      <protection locked="0"/>
    </xf>
    <xf numFmtId="0" fontId="10" fillId="11" borderId="59" xfId="0" applyFont="1" applyFill="1" applyBorder="1" applyAlignment="1" applyProtection="1">
      <alignment horizontal="left"/>
      <protection locked="0"/>
    </xf>
    <xf numFmtId="176" fontId="10" fillId="42" borderId="38" xfId="1" applyNumberFormat="1" applyFont="1" applyFill="1" applyBorder="1" applyAlignment="1" applyProtection="1">
      <alignment horizontal="right"/>
      <protection locked="0"/>
    </xf>
    <xf numFmtId="9" fontId="10" fillId="0" borderId="60" xfId="2" applyFont="1" applyFill="1" applyBorder="1" applyAlignment="1" applyProtection="1">
      <alignment horizontal="center"/>
      <protection locked="0"/>
    </xf>
    <xf numFmtId="0" fontId="14" fillId="0" borderId="62" xfId="0" applyFont="1" applyBorder="1" applyAlignment="1" applyProtection="1">
      <alignment horizontal="right" wrapText="1"/>
      <protection locked="0"/>
    </xf>
    <xf numFmtId="9" fontId="10" fillId="42" borderId="63" xfId="0" applyNumberFormat="1" applyFont="1" applyFill="1" applyBorder="1" applyAlignment="1" applyProtection="1">
      <alignment horizontal="center" vertical="center"/>
      <protection locked="0"/>
    </xf>
    <xf numFmtId="0" fontId="15" fillId="0" borderId="59" xfId="0" applyFont="1" applyFill="1" applyBorder="1" applyProtection="1">
      <protection locked="0"/>
    </xf>
    <xf numFmtId="176" fontId="15" fillId="0" borderId="0" xfId="1" applyNumberFormat="1" applyFont="1" applyFill="1" applyBorder="1" applyProtection="1">
      <protection locked="0"/>
    </xf>
    <xf numFmtId="176" fontId="15" fillId="42" borderId="52" xfId="1" applyNumberFormat="1" applyFont="1" applyFill="1" applyBorder="1" applyProtection="1">
      <protection locked="0"/>
    </xf>
    <xf numFmtId="0" fontId="14" fillId="11" borderId="59" xfId="0" applyFont="1" applyFill="1" applyBorder="1" applyAlignment="1" applyProtection="1">
      <alignment horizontal="right"/>
      <protection locked="0"/>
    </xf>
    <xf numFmtId="9" fontId="10" fillId="42" borderId="60" xfId="2" applyNumberFormat="1" applyFont="1" applyFill="1" applyBorder="1" applyAlignment="1" applyProtection="1">
      <alignment horizontal="center"/>
      <protection locked="0"/>
    </xf>
    <xf numFmtId="0" fontId="13" fillId="11" borderId="59" xfId="0" applyFont="1" applyFill="1" applyBorder="1" applyAlignment="1" applyProtection="1">
      <alignment horizontal="right"/>
      <protection locked="0"/>
    </xf>
    <xf numFmtId="176" fontId="10" fillId="11" borderId="0" xfId="1" applyNumberFormat="1" applyFont="1" applyFill="1" applyBorder="1" applyProtection="1">
      <protection locked="0"/>
    </xf>
    <xf numFmtId="9" fontId="10" fillId="42" borderId="61" xfId="2" applyNumberFormat="1" applyFont="1" applyFill="1" applyBorder="1" applyAlignment="1" applyProtection="1">
      <alignment horizontal="center"/>
      <protection locked="0"/>
    </xf>
    <xf numFmtId="9" fontId="10" fillId="42" borderId="63" xfId="2" applyNumberFormat="1" applyFont="1" applyFill="1" applyBorder="1" applyAlignment="1" applyProtection="1">
      <alignment horizontal="center"/>
      <protection locked="0"/>
    </xf>
    <xf numFmtId="0" fontId="13" fillId="11" borderId="62" xfId="0" applyFont="1" applyFill="1" applyBorder="1" applyAlignment="1" applyProtection="1">
      <alignment horizontal="right"/>
      <protection locked="0"/>
    </xf>
    <xf numFmtId="176" fontId="10" fillId="11" borderId="50" xfId="1" applyNumberFormat="1" applyFont="1" applyFill="1" applyBorder="1" applyProtection="1">
      <protection locked="0"/>
    </xf>
    <xf numFmtId="0" fontId="8" fillId="11" borderId="57" xfId="0" applyFont="1" applyFill="1" applyBorder="1" applyProtection="1">
      <protection locked="0"/>
    </xf>
    <xf numFmtId="1" fontId="7" fillId="0" borderId="52" xfId="0" applyNumberFormat="1" applyFont="1" applyBorder="1" applyProtection="1">
      <protection locked="0"/>
    </xf>
    <xf numFmtId="0" fontId="14" fillId="0" borderId="59" xfId="0" applyFont="1" applyBorder="1" applyAlignment="1" applyProtection="1">
      <alignment horizontal="right"/>
      <protection locked="0"/>
    </xf>
    <xf numFmtId="1" fontId="7" fillId="0" borderId="0" xfId="0" applyNumberFormat="1" applyFont="1" applyBorder="1" applyProtection="1">
      <protection locked="0"/>
    </xf>
    <xf numFmtId="9" fontId="7" fillId="42" borderId="60" xfId="2" applyNumberFormat="1" applyFont="1" applyFill="1" applyBorder="1" applyAlignment="1" applyProtection="1">
      <alignment horizontal="center" wrapText="1"/>
      <protection locked="0"/>
    </xf>
    <xf numFmtId="0" fontId="14" fillId="0" borderId="59" xfId="0" applyFont="1" applyFill="1" applyBorder="1" applyAlignment="1" applyProtection="1">
      <alignment horizontal="right"/>
      <protection locked="0"/>
    </xf>
    <xf numFmtId="1" fontId="10" fillId="11" borderId="0" xfId="0" applyNumberFormat="1" applyFont="1" applyFill="1" applyBorder="1" applyProtection="1">
      <protection locked="0"/>
    </xf>
    <xf numFmtId="0" fontId="14" fillId="0" borderId="64" xfId="0" applyFont="1" applyBorder="1" applyAlignment="1" applyProtection="1">
      <alignment horizontal="right" wrapText="1"/>
      <protection locked="0"/>
    </xf>
    <xf numFmtId="176" fontId="7" fillId="0" borderId="65" xfId="1" applyNumberFormat="1" applyFont="1" applyBorder="1" applyProtection="1">
      <protection locked="0"/>
    </xf>
    <xf numFmtId="9" fontId="10" fillId="42" borderId="66" xfId="2" applyNumberFormat="1" applyFont="1" applyFill="1" applyBorder="1" applyAlignment="1" applyProtection="1">
      <alignment horizontal="center"/>
      <protection locked="0"/>
    </xf>
    <xf numFmtId="1" fontId="0" fillId="11" borderId="0" xfId="0" applyNumberFormat="1" applyFill="1" applyProtection="1">
      <protection locked="0"/>
    </xf>
    <xf numFmtId="0" fontId="13" fillId="11" borderId="64" xfId="0" applyFont="1" applyFill="1" applyBorder="1" applyAlignment="1" applyProtection="1">
      <alignment horizontal="right"/>
      <protection locked="0"/>
    </xf>
    <xf numFmtId="1" fontId="10" fillId="11" borderId="65" xfId="0" applyNumberFormat="1" applyFont="1" applyFill="1" applyBorder="1" applyProtection="1">
      <protection locked="0"/>
    </xf>
    <xf numFmtId="9" fontId="54" fillId="0" borderId="58" xfId="2" applyFont="1" applyFill="1" applyBorder="1" applyAlignment="1" applyProtection="1">
      <alignment horizontal="center"/>
    </xf>
    <xf numFmtId="9" fontId="10" fillId="0" borderId="58" xfId="2" applyFont="1" applyFill="1" applyBorder="1" applyAlignment="1" applyProtection="1">
      <alignment horizontal="center"/>
    </xf>
    <xf numFmtId="9" fontId="15" fillId="11" borderId="60" xfId="2" applyFont="1" applyFill="1" applyBorder="1" applyAlignment="1" applyProtection="1">
      <alignment horizontal="center"/>
    </xf>
    <xf numFmtId="9" fontId="10" fillId="11" borderId="58" xfId="0" applyNumberFormat="1" applyFont="1" applyFill="1" applyBorder="1" applyAlignment="1" applyProtection="1">
      <alignment horizontal="center" vertical="center"/>
    </xf>
    <xf numFmtId="10" fontId="64" fillId="0" borderId="47" xfId="0" applyNumberFormat="1" applyFont="1" applyBorder="1" applyAlignment="1" applyProtection="1">
      <alignment horizontal="center"/>
    </xf>
    <xf numFmtId="0" fontId="68" fillId="45" borderId="0" xfId="0" applyFont="1" applyFill="1" applyBorder="1" applyAlignment="1">
      <alignment horizontal="left" vertical="top" wrapText="1"/>
    </xf>
    <xf numFmtId="0" fontId="61" fillId="44" borderId="0" xfId="0" applyFont="1" applyFill="1" applyBorder="1" applyAlignment="1">
      <alignment horizontal="center" vertical="center"/>
    </xf>
    <xf numFmtId="0" fontId="73" fillId="11" borderId="0" xfId="0" applyFont="1" applyFill="1" applyBorder="1" applyAlignment="1">
      <alignment horizontal="center" vertical="center"/>
    </xf>
    <xf numFmtId="0" fontId="74" fillId="11" borderId="0" xfId="0" applyFont="1" applyFill="1" applyBorder="1" applyAlignment="1">
      <alignment horizontal="center" vertical="center"/>
    </xf>
    <xf numFmtId="0" fontId="58" fillId="45" borderId="0" xfId="0" applyFont="1" applyFill="1" applyBorder="1" applyAlignment="1">
      <alignment horizontal="left" vertical="top" wrapText="1"/>
    </xf>
    <xf numFmtId="0" fontId="79" fillId="45" borderId="0" xfId="0" applyFont="1" applyFill="1" applyBorder="1" applyAlignment="1">
      <alignment horizontal="left" vertical="top" wrapText="1"/>
    </xf>
    <xf numFmtId="0" fontId="75" fillId="45" borderId="0" xfId="0" applyFont="1" applyFill="1" applyBorder="1" applyAlignment="1">
      <alignment horizontal="left" vertical="center" wrapText="1"/>
    </xf>
    <xf numFmtId="0" fontId="1" fillId="45" borderId="0" xfId="0" applyFont="1" applyFill="1" applyBorder="1" applyAlignment="1">
      <alignment horizontal="left" vertical="top" wrapText="1"/>
    </xf>
    <xf numFmtId="0" fontId="53" fillId="45" borderId="0" xfId="0" applyFont="1" applyFill="1" applyBorder="1" applyAlignment="1">
      <alignment horizontal="left" vertical="top" wrapText="1"/>
    </xf>
    <xf numFmtId="0" fontId="53" fillId="45" borderId="0" xfId="0" applyFont="1" applyFill="1" applyAlignment="1">
      <alignment horizontal="left" vertical="top" wrapText="1"/>
    </xf>
    <xf numFmtId="0" fontId="70" fillId="45" borderId="0" xfId="0" applyFont="1" applyFill="1" applyBorder="1" applyAlignment="1">
      <alignment horizontal="center"/>
    </xf>
    <xf numFmtId="0" fontId="53" fillId="45" borderId="28" xfId="0" applyFont="1" applyFill="1" applyBorder="1" applyAlignment="1">
      <alignment horizontal="left" vertical="top" wrapText="1"/>
    </xf>
    <xf numFmtId="0" fontId="70" fillId="45" borderId="0" xfId="0" applyFont="1" applyFill="1" applyAlignment="1">
      <alignment horizontal="center"/>
    </xf>
    <xf numFmtId="0" fontId="53" fillId="45" borderId="0" xfId="0" applyFont="1" applyFill="1" applyAlignment="1">
      <alignment horizontal="center"/>
    </xf>
    <xf numFmtId="0" fontId="2" fillId="45" borderId="0" xfId="0" applyFont="1" applyFill="1" applyAlignment="1">
      <alignment horizontal="left" vertical="top" wrapText="1"/>
    </xf>
    <xf numFmtId="0" fontId="70" fillId="42" borderId="75" xfId="0" applyFont="1" applyFill="1" applyBorder="1" applyAlignment="1" applyProtection="1">
      <alignment horizontal="center"/>
      <protection locked="0"/>
    </xf>
    <xf numFmtId="0" fontId="70" fillId="42" borderId="28" xfId="0" applyFont="1" applyFill="1" applyBorder="1" applyAlignment="1" applyProtection="1">
      <alignment horizontal="center"/>
      <protection locked="0"/>
    </xf>
    <xf numFmtId="0" fontId="5" fillId="43" borderId="45" xfId="0" applyFont="1" applyFill="1" applyBorder="1" applyAlignment="1">
      <alignment horizontal="left"/>
    </xf>
    <xf numFmtId="0" fontId="5" fillId="43" borderId="46" xfId="0" applyFont="1" applyFill="1" applyBorder="1" applyAlignment="1">
      <alignment horizontal="left"/>
    </xf>
    <xf numFmtId="0" fontId="5" fillId="46" borderId="0" xfId="0" applyFont="1" applyFill="1" applyAlignment="1">
      <alignment horizontal="center"/>
    </xf>
    <xf numFmtId="0" fontId="52" fillId="9" borderId="0" xfId="0" applyFont="1" applyFill="1" applyAlignment="1">
      <alignment horizontal="center"/>
    </xf>
    <xf numFmtId="9" fontId="10" fillId="42" borderId="65" xfId="2" applyFont="1" applyFill="1" applyBorder="1" applyAlignment="1" applyProtection="1">
      <alignment horizontal="center"/>
      <protection locked="0"/>
    </xf>
    <xf numFmtId="9" fontId="10" fillId="42" borderId="70" xfId="2" applyFont="1" applyFill="1" applyBorder="1" applyAlignment="1" applyProtection="1">
      <alignment horizontal="center"/>
      <protection locked="0"/>
    </xf>
    <xf numFmtId="0" fontId="0" fillId="11" borderId="0" xfId="0" applyFill="1" applyAlignment="1">
      <alignment horizontal="center"/>
    </xf>
    <xf numFmtId="0" fontId="5" fillId="41" borderId="76" xfId="0" applyFont="1" applyFill="1" applyBorder="1" applyAlignment="1" applyProtection="1">
      <alignment horizontal="left"/>
      <protection locked="0"/>
    </xf>
    <xf numFmtId="0" fontId="5" fillId="41" borderId="43" xfId="0" applyFont="1" applyFill="1" applyBorder="1" applyAlignment="1" applyProtection="1">
      <alignment horizontal="left"/>
      <protection locked="0"/>
    </xf>
    <xf numFmtId="0" fontId="5" fillId="41" borderId="77" xfId="0" applyFont="1" applyFill="1" applyBorder="1" applyAlignment="1" applyProtection="1">
      <alignment horizontal="left"/>
      <protection locked="0"/>
    </xf>
    <xf numFmtId="10" fontId="10" fillId="42" borderId="72" xfId="2" applyNumberFormat="1" applyFont="1" applyFill="1" applyBorder="1" applyAlignment="1" applyProtection="1">
      <alignment horizontal="center" wrapText="1"/>
      <protection locked="0"/>
    </xf>
    <xf numFmtId="10" fontId="10" fillId="42" borderId="71" xfId="2" applyNumberFormat="1" applyFont="1" applyFill="1" applyBorder="1" applyAlignment="1" applyProtection="1">
      <alignment horizontal="center" wrapText="1"/>
      <protection locked="0"/>
    </xf>
    <xf numFmtId="10" fontId="10" fillId="42" borderId="74" xfId="2" applyNumberFormat="1" applyFont="1" applyFill="1" applyBorder="1" applyAlignment="1" applyProtection="1">
      <alignment horizontal="center"/>
      <protection locked="0"/>
    </xf>
    <xf numFmtId="10" fontId="10" fillId="42" borderId="73" xfId="2" applyNumberFormat="1" applyFont="1" applyFill="1" applyBorder="1" applyAlignment="1" applyProtection="1">
      <alignment horizontal="center"/>
      <protection locked="0"/>
    </xf>
    <xf numFmtId="10" fontId="64" fillId="0" borderId="47" xfId="0" applyNumberFormat="1" applyFont="1" applyBorder="1" applyAlignment="1" applyProtection="1">
      <alignment horizontal="center" vertical="center"/>
    </xf>
    <xf numFmtId="10" fontId="64" fillId="0" borderId="49" xfId="0" applyNumberFormat="1" applyFont="1" applyBorder="1" applyAlignment="1" applyProtection="1">
      <alignment horizontal="center" vertical="center"/>
    </xf>
    <xf numFmtId="0" fontId="80" fillId="0" borderId="48" xfId="2311" applyFont="1" applyBorder="1" applyAlignment="1">
      <alignment horizontal="left" vertical="center"/>
    </xf>
    <xf numFmtId="0" fontId="80" fillId="0" borderId="53" xfId="2311" applyFont="1" applyBorder="1" applyAlignment="1">
      <alignment horizontal="left" vertical="center"/>
    </xf>
    <xf numFmtId="10" fontId="10" fillId="42" borderId="65" xfId="2" applyNumberFormat="1" applyFont="1" applyFill="1" applyBorder="1" applyAlignment="1" applyProtection="1">
      <alignment horizontal="center"/>
      <protection locked="0"/>
    </xf>
    <xf numFmtId="10" fontId="10" fillId="42" borderId="70" xfId="2" applyNumberFormat="1" applyFont="1" applyFill="1" applyBorder="1" applyAlignment="1" applyProtection="1">
      <alignment horizontal="center"/>
      <protection locked="0"/>
    </xf>
    <xf numFmtId="0" fontId="5" fillId="41" borderId="69" xfId="0" applyFont="1" applyFill="1" applyBorder="1" applyAlignment="1" applyProtection="1">
      <alignment horizontal="left"/>
      <protection locked="0"/>
    </xf>
    <xf numFmtId="0" fontId="5" fillId="41" borderId="55" xfId="0" applyFont="1" applyFill="1" applyBorder="1" applyAlignment="1" applyProtection="1">
      <alignment horizontal="left"/>
      <protection locked="0"/>
    </xf>
    <xf numFmtId="0" fontId="5" fillId="41" borderId="56" xfId="0" applyFont="1" applyFill="1" applyBorder="1" applyAlignment="1" applyProtection="1">
      <alignment horizontal="left"/>
      <protection locked="0"/>
    </xf>
    <xf numFmtId="0" fontId="1" fillId="40" borderId="0" xfId="0" applyFont="1" applyFill="1" applyBorder="1" applyAlignment="1">
      <alignment horizontal="left" vertical="top" wrapText="1"/>
    </xf>
    <xf numFmtId="3" fontId="7" fillId="0" borderId="0" xfId="0" applyNumberFormat="1" applyFont="1" applyBorder="1" applyAlignment="1">
      <alignment horizontal="center"/>
    </xf>
    <xf numFmtId="3" fontId="7" fillId="0" borderId="6" xfId="0" applyNumberFormat="1" applyFont="1" applyBorder="1" applyAlignment="1">
      <alignment horizontal="center"/>
    </xf>
    <xf numFmtId="10" fontId="64" fillId="0" borderId="40" xfId="2" applyNumberFormat="1" applyFont="1" applyBorder="1" applyAlignment="1">
      <alignment horizontal="center"/>
    </xf>
    <xf numFmtId="10" fontId="64" fillId="0" borderId="41" xfId="2" applyNumberFormat="1" applyFont="1" applyBorder="1" applyAlignment="1">
      <alignment horizontal="center"/>
    </xf>
    <xf numFmtId="0" fontId="1" fillId="40" borderId="0" xfId="0" applyFont="1" applyFill="1" applyBorder="1" applyAlignment="1">
      <alignment vertical="top"/>
    </xf>
    <xf numFmtId="178" fontId="8" fillId="52" borderId="30" xfId="1" applyNumberFormat="1" applyFont="1" applyFill="1" applyBorder="1" applyAlignment="1">
      <alignment horizontal="center"/>
    </xf>
    <xf numFmtId="178" fontId="8" fillId="52" borderId="23" xfId="1" applyNumberFormat="1" applyFont="1" applyFill="1" applyBorder="1" applyAlignment="1">
      <alignment horizontal="center"/>
    </xf>
    <xf numFmtId="178" fontId="8" fillId="52" borderId="0" xfId="1" applyNumberFormat="1" applyFont="1" applyFill="1" applyBorder="1" applyAlignment="1">
      <alignment horizontal="center"/>
    </xf>
    <xf numFmtId="178" fontId="8" fillId="52" borderId="25" xfId="1" applyNumberFormat="1" applyFont="1" applyFill="1" applyBorder="1" applyAlignment="1">
      <alignment horizontal="center"/>
    </xf>
    <xf numFmtId="0" fontId="8" fillId="52" borderId="32" xfId="0" applyFont="1" applyFill="1" applyBorder="1" applyAlignment="1">
      <alignment horizontal="left"/>
    </xf>
    <xf numFmtId="0" fontId="8" fillId="52" borderId="33" xfId="0" applyFont="1" applyFill="1" applyBorder="1" applyAlignment="1">
      <alignment horizontal="left"/>
    </xf>
    <xf numFmtId="178" fontId="8" fillId="52" borderId="29" xfId="1" applyNumberFormat="1" applyFont="1" applyFill="1" applyBorder="1" applyAlignment="1">
      <alignment horizontal="center"/>
    </xf>
    <xf numFmtId="178" fontId="0" fillId="0" borderId="0" xfId="1" applyNumberFormat="1" applyFont="1" applyBorder="1" applyAlignment="1">
      <alignment horizontal="center"/>
    </xf>
    <xf numFmtId="0" fontId="7" fillId="0" borderId="32" xfId="0" applyFont="1" applyBorder="1" applyAlignment="1">
      <alignment horizontal="center" vertical="center" textRotation="180"/>
    </xf>
    <xf numFmtId="0" fontId="7" fillId="0" borderId="33" xfId="0" applyFont="1" applyBorder="1" applyAlignment="1">
      <alignment horizontal="center" vertical="center" textRotation="180"/>
    </xf>
    <xf numFmtId="0" fontId="7" fillId="0" borderId="34" xfId="0" applyFont="1" applyBorder="1" applyAlignment="1">
      <alignment horizontal="center" vertical="center" textRotation="180"/>
    </xf>
    <xf numFmtId="0" fontId="70" fillId="40" borderId="0" xfId="0" applyFont="1" applyFill="1" applyBorder="1" applyAlignment="1">
      <alignment horizontal="left" vertical="top" wrapText="1"/>
    </xf>
    <xf numFmtId="0" fontId="53" fillId="40" borderId="0" xfId="0" applyFont="1" applyFill="1" applyBorder="1" applyAlignment="1">
      <alignment horizontal="left" vertical="top" wrapText="1"/>
    </xf>
    <xf numFmtId="0" fontId="7" fillId="0" borderId="0" xfId="0" applyFont="1" applyBorder="1" applyAlignment="1">
      <alignment horizontal="center" vertical="center" textRotation="180"/>
    </xf>
    <xf numFmtId="0" fontId="0" fillId="0" borderId="32" xfId="0" applyFont="1" applyBorder="1" applyAlignment="1">
      <alignment horizontal="center"/>
    </xf>
    <xf numFmtId="0" fontId="0" fillId="0" borderId="34"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3"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47" borderId="0" xfId="0" applyFont="1" applyFill="1" applyAlignment="1">
      <alignment horizontal="center"/>
    </xf>
    <xf numFmtId="0" fontId="8" fillId="49" borderId="0" xfId="0" applyFont="1" applyFill="1" applyAlignment="1">
      <alignment horizontal="center"/>
    </xf>
    <xf numFmtId="0" fontId="8" fillId="48" borderId="0" xfId="0" applyFont="1" applyFill="1" applyAlignment="1">
      <alignment horizontal="center"/>
    </xf>
    <xf numFmtId="0" fontId="7" fillId="0" borderId="0" xfId="0" applyFont="1" applyBorder="1" applyAlignment="1">
      <alignment horizontal="center" textRotation="180"/>
    </xf>
    <xf numFmtId="0" fontId="8" fillId="0" borderId="35" xfId="0" applyFont="1" applyBorder="1" applyAlignment="1">
      <alignment horizontal="center"/>
    </xf>
    <xf numFmtId="0" fontId="8" fillId="0" borderId="36" xfId="0" applyFont="1" applyBorder="1" applyAlignment="1">
      <alignment horizontal="center"/>
    </xf>
    <xf numFmtId="0" fontId="8" fillId="0" borderId="37" xfId="0" applyFont="1" applyBorder="1" applyAlignment="1">
      <alignment horizontal="center"/>
    </xf>
    <xf numFmtId="0" fontId="8" fillId="0" borderId="81" xfId="0" applyFont="1" applyBorder="1" applyAlignment="1">
      <alignment horizontal="center"/>
    </xf>
    <xf numFmtId="176" fontId="8" fillId="52" borderId="29" xfId="1" applyNumberFormat="1" applyFont="1" applyFill="1" applyBorder="1" applyAlignment="1">
      <alignment horizontal="center"/>
    </xf>
    <xf numFmtId="176" fontId="8" fillId="52" borderId="23" xfId="1" applyNumberFormat="1" applyFont="1" applyFill="1" applyBorder="1" applyAlignment="1">
      <alignment horizontal="center"/>
    </xf>
    <xf numFmtId="0" fontId="8" fillId="52" borderId="32" xfId="0" applyFont="1" applyFill="1" applyBorder="1" applyAlignment="1">
      <alignment horizontal="center"/>
    </xf>
    <xf numFmtId="0" fontId="8" fillId="52" borderId="33" xfId="0" applyFont="1" applyFill="1" applyBorder="1" applyAlignment="1">
      <alignment horizontal="center"/>
    </xf>
    <xf numFmtId="176" fontId="8" fillId="52" borderId="0" xfId="1" applyNumberFormat="1" applyFont="1" applyFill="1" applyBorder="1" applyAlignment="1">
      <alignment horizontal="center"/>
    </xf>
    <xf numFmtId="176" fontId="8" fillId="52" borderId="25" xfId="1" applyNumberFormat="1" applyFont="1" applyFill="1" applyBorder="1" applyAlignment="1">
      <alignment horizontal="center"/>
    </xf>
    <xf numFmtId="176" fontId="8" fillId="52" borderId="24" xfId="1" applyNumberFormat="1" applyFont="1" applyFill="1" applyBorder="1" applyAlignment="1">
      <alignment horizontal="center"/>
    </xf>
    <xf numFmtId="176" fontId="0" fillId="0" borderId="0" xfId="1" applyNumberFormat="1" applyFont="1" applyBorder="1" applyAlignment="1">
      <alignment horizontal="center"/>
    </xf>
    <xf numFmtId="0" fontId="0" fillId="0" borderId="0" xfId="0" applyBorder="1" applyAlignment="1">
      <alignment horizontal="center"/>
    </xf>
    <xf numFmtId="176" fontId="8" fillId="52" borderId="30" xfId="1" applyNumberFormat="1" applyFont="1" applyFill="1" applyBorder="1" applyAlignment="1">
      <alignment horizontal="center"/>
    </xf>
    <xf numFmtId="0" fontId="8" fillId="52" borderId="30" xfId="0" applyFont="1" applyFill="1" applyBorder="1" applyAlignment="1">
      <alignment horizontal="center"/>
    </xf>
    <xf numFmtId="0" fontId="8" fillId="52" borderId="23" xfId="0" applyFont="1" applyFill="1" applyBorder="1" applyAlignment="1">
      <alignment horizontal="center"/>
    </xf>
    <xf numFmtId="0" fontId="8" fillId="52" borderId="0" xfId="0" applyFont="1" applyFill="1" applyBorder="1" applyAlignment="1">
      <alignment horizontal="center"/>
    </xf>
    <xf numFmtId="0" fontId="8" fillId="52" borderId="25" xfId="0" applyFont="1" applyFill="1" applyBorder="1" applyAlignment="1">
      <alignment horizontal="center"/>
    </xf>
    <xf numFmtId="176" fontId="8" fillId="0" borderId="81" xfId="1" applyNumberFormat="1" applyFont="1" applyFill="1" applyBorder="1" applyAlignment="1">
      <alignment horizontal="center" vertical="center" wrapText="1"/>
    </xf>
    <xf numFmtId="176" fontId="0" fillId="0" borderId="31" xfId="1" applyNumberFormat="1" applyFont="1" applyBorder="1" applyAlignment="1">
      <alignment horizontal="center"/>
    </xf>
    <xf numFmtId="0" fontId="7" fillId="0" borderId="29" xfId="0" applyFont="1" applyBorder="1" applyAlignment="1">
      <alignment horizontal="center" vertical="center" textRotation="180"/>
    </xf>
    <xf numFmtId="0" fontId="7" fillId="0" borderId="26" xfId="0" applyFont="1" applyBorder="1" applyAlignment="1">
      <alignment horizontal="center" vertical="center" textRotation="180"/>
    </xf>
    <xf numFmtId="0" fontId="7" fillId="0" borderId="24" xfId="0" applyFont="1" applyBorder="1" applyAlignment="1">
      <alignment horizontal="center" vertical="center" textRotation="180"/>
    </xf>
    <xf numFmtId="176" fontId="7" fillId="0" borderId="31" xfId="1" applyNumberFormat="1" applyFont="1" applyBorder="1" applyAlignment="1">
      <alignment horizontal="center"/>
    </xf>
    <xf numFmtId="176" fontId="7" fillId="0" borderId="0" xfId="1" applyNumberFormat="1" applyFont="1" applyBorder="1" applyAlignment="1">
      <alignment horizontal="center"/>
    </xf>
    <xf numFmtId="176" fontId="8" fillId="0" borderId="81" xfId="1" applyNumberFormat="1" applyFont="1" applyBorder="1" applyAlignment="1">
      <alignment horizontal="center" wrapText="1"/>
    </xf>
    <xf numFmtId="10" fontId="65" fillId="0" borderId="40" xfId="2" applyNumberFormat="1" applyFont="1" applyBorder="1" applyAlignment="1">
      <alignment horizontal="center"/>
    </xf>
    <xf numFmtId="10" fontId="65" fillId="0" borderId="41" xfId="2" applyNumberFormat="1" applyFont="1" applyBorder="1" applyAlignment="1">
      <alignment horizontal="center"/>
    </xf>
    <xf numFmtId="176" fontId="8" fillId="52" borderId="81" xfId="1" applyNumberFormat="1" applyFont="1" applyFill="1" applyBorder="1" applyAlignment="1">
      <alignment horizontal="center"/>
    </xf>
  </cellXfs>
  <cellStyles count="2312">
    <cellStyle name="=C:\WINNT35\SYSTEM32\COMMAND.COM" xfId="8"/>
    <cellStyle name="=C:\WINNT35\SYSTEM32\COMMAND.COM 3" xfId="9"/>
    <cellStyle name="20% - Accent1 10" xfId="10"/>
    <cellStyle name="20% - Accent1 11" xfId="11"/>
    <cellStyle name="20% - Accent1 12" xfId="12"/>
    <cellStyle name="20% - Accent1 13" xfId="13"/>
    <cellStyle name="20% - Accent1 14" xfId="14"/>
    <cellStyle name="20% - Accent1 15" xfId="15"/>
    <cellStyle name="20% - Accent1 16" xfId="16"/>
    <cellStyle name="20% - Accent1 17" xfId="17"/>
    <cellStyle name="20% - Accent1 18" xfId="18"/>
    <cellStyle name="20% - Accent1 19" xfId="19"/>
    <cellStyle name="20% - Accent1 2" xfId="20"/>
    <cellStyle name="20% - Accent1 2 2" xfId="21"/>
    <cellStyle name="20% - Accent1 2 3" xfId="22"/>
    <cellStyle name="20% - Accent1 20" xfId="23"/>
    <cellStyle name="20% - Accent1 21" xfId="24"/>
    <cellStyle name="20% - Accent1 22" xfId="25"/>
    <cellStyle name="20% - Accent1 23" xfId="26"/>
    <cellStyle name="20% - Accent1 24" xfId="27"/>
    <cellStyle name="20% - Accent1 25" xfId="28"/>
    <cellStyle name="20% - Accent1 26" xfId="29"/>
    <cellStyle name="20% - Accent1 27" xfId="30"/>
    <cellStyle name="20% - Accent1 28" xfId="31"/>
    <cellStyle name="20% - Accent1 29" xfId="32"/>
    <cellStyle name="20% - Accent1 3" xfId="33"/>
    <cellStyle name="20% - Accent1 3 2" xfId="34"/>
    <cellStyle name="20% - Accent1 3 3" xfId="35"/>
    <cellStyle name="20% - Accent1 30" xfId="36"/>
    <cellStyle name="20% - Accent1 31" xfId="37"/>
    <cellStyle name="20% - Accent1 32" xfId="38"/>
    <cellStyle name="20% - Accent1 33" xfId="39"/>
    <cellStyle name="20% - Accent1 4" xfId="40"/>
    <cellStyle name="20% - Accent1 4 2" xfId="41"/>
    <cellStyle name="20% - Accent1 4 3" xfId="42"/>
    <cellStyle name="20% - Accent1 5" xfId="43"/>
    <cellStyle name="20% - Accent1 5 2" xfId="44"/>
    <cellStyle name="20% - Accent1 5 3" xfId="45"/>
    <cellStyle name="20% - Accent1 6" xfId="46"/>
    <cellStyle name="20% - Accent1 6 2" xfId="47"/>
    <cellStyle name="20% - Accent1 6 3" xfId="48"/>
    <cellStyle name="20% - Accent1 7" xfId="49"/>
    <cellStyle name="20% - Accent1 7 2" xfId="50"/>
    <cellStyle name="20% - Accent1 7 3" xfId="51"/>
    <cellStyle name="20% - Accent1 8" xfId="52"/>
    <cellStyle name="20% - Accent1 8 2" xfId="53"/>
    <cellStyle name="20% - Accent1 8 3" xfId="54"/>
    <cellStyle name="20% - Accent1 9" xfId="55"/>
    <cellStyle name="20% - Accent1 9 2" xfId="56"/>
    <cellStyle name="20% - Accent1 9 3" xfId="57"/>
    <cellStyle name="20% - Accent2" xfId="3" builtinId="34"/>
    <cellStyle name="20% - Accent2 10" xfId="58"/>
    <cellStyle name="20% - Accent2 11" xfId="59"/>
    <cellStyle name="20% - Accent2 12" xfId="60"/>
    <cellStyle name="20% - Accent2 13" xfId="61"/>
    <cellStyle name="20% - Accent2 14" xfId="62"/>
    <cellStyle name="20% - Accent2 15" xfId="63"/>
    <cellStyle name="20% - Accent2 16" xfId="64"/>
    <cellStyle name="20% - Accent2 17" xfId="65"/>
    <cellStyle name="20% - Accent2 18" xfId="66"/>
    <cellStyle name="20% - Accent2 19" xfId="67"/>
    <cellStyle name="20% - Accent2 2" xfId="68"/>
    <cellStyle name="20% - Accent2 2 2" xfId="69"/>
    <cellStyle name="20% - Accent2 2 3" xfId="70"/>
    <cellStyle name="20% - Accent2 20" xfId="71"/>
    <cellStyle name="20% - Accent2 21" xfId="72"/>
    <cellStyle name="20% - Accent2 22" xfId="73"/>
    <cellStyle name="20% - Accent2 23" xfId="74"/>
    <cellStyle name="20% - Accent2 24" xfId="75"/>
    <cellStyle name="20% - Accent2 25" xfId="76"/>
    <cellStyle name="20% - Accent2 26" xfId="77"/>
    <cellStyle name="20% - Accent2 27" xfId="78"/>
    <cellStyle name="20% - Accent2 28" xfId="79"/>
    <cellStyle name="20% - Accent2 29" xfId="80"/>
    <cellStyle name="20% - Accent2 3" xfId="81"/>
    <cellStyle name="20% - Accent2 3 2" xfId="82"/>
    <cellStyle name="20% - Accent2 3 3" xfId="83"/>
    <cellStyle name="20% - Accent2 30" xfId="84"/>
    <cellStyle name="20% - Accent2 31" xfId="85"/>
    <cellStyle name="20% - Accent2 32" xfId="86"/>
    <cellStyle name="20% - Accent2 33" xfId="87"/>
    <cellStyle name="20% - Accent2 4" xfId="88"/>
    <cellStyle name="20% - Accent2 4 2" xfId="89"/>
    <cellStyle name="20% - Accent2 4 3" xfId="90"/>
    <cellStyle name="20% - Accent2 5" xfId="91"/>
    <cellStyle name="20% - Accent2 5 2" xfId="92"/>
    <cellStyle name="20% - Accent2 5 3" xfId="93"/>
    <cellStyle name="20% - Accent2 6" xfId="94"/>
    <cellStyle name="20% - Accent2 6 2" xfId="95"/>
    <cellStyle name="20% - Accent2 6 3" xfId="96"/>
    <cellStyle name="20% - Accent2 7" xfId="97"/>
    <cellStyle name="20% - Accent2 7 2" xfId="98"/>
    <cellStyle name="20% - Accent2 7 3" xfId="99"/>
    <cellStyle name="20% - Accent2 8" xfId="100"/>
    <cellStyle name="20% - Accent2 8 2" xfId="101"/>
    <cellStyle name="20% - Accent2 8 3" xfId="102"/>
    <cellStyle name="20% - Accent2 9" xfId="103"/>
    <cellStyle name="20% - Accent2 9 2" xfId="104"/>
    <cellStyle name="20% - Accent2 9 3" xfId="105"/>
    <cellStyle name="20% - Accent3 10" xfId="106"/>
    <cellStyle name="20% - Accent3 11" xfId="107"/>
    <cellStyle name="20% - Accent3 12" xfId="108"/>
    <cellStyle name="20% - Accent3 13" xfId="109"/>
    <cellStyle name="20% - Accent3 14" xfId="110"/>
    <cellStyle name="20% - Accent3 15" xfId="111"/>
    <cellStyle name="20% - Accent3 16" xfId="112"/>
    <cellStyle name="20% - Accent3 17" xfId="113"/>
    <cellStyle name="20% - Accent3 18" xfId="114"/>
    <cellStyle name="20% - Accent3 19" xfId="115"/>
    <cellStyle name="20% - Accent3 2" xfId="116"/>
    <cellStyle name="20% - Accent3 2 2" xfId="117"/>
    <cellStyle name="20% - Accent3 2 3" xfId="118"/>
    <cellStyle name="20% - Accent3 20" xfId="119"/>
    <cellStyle name="20% - Accent3 21" xfId="120"/>
    <cellStyle name="20% - Accent3 22" xfId="121"/>
    <cellStyle name="20% - Accent3 23" xfId="122"/>
    <cellStyle name="20% - Accent3 24" xfId="123"/>
    <cellStyle name="20% - Accent3 25" xfId="124"/>
    <cellStyle name="20% - Accent3 26" xfId="125"/>
    <cellStyle name="20% - Accent3 27" xfId="126"/>
    <cellStyle name="20% - Accent3 28" xfId="127"/>
    <cellStyle name="20% - Accent3 29" xfId="128"/>
    <cellStyle name="20% - Accent3 3" xfId="129"/>
    <cellStyle name="20% - Accent3 3 2" xfId="130"/>
    <cellStyle name="20% - Accent3 3 3" xfId="131"/>
    <cellStyle name="20% - Accent3 30" xfId="132"/>
    <cellStyle name="20% - Accent3 31" xfId="133"/>
    <cellStyle name="20% - Accent3 32" xfId="134"/>
    <cellStyle name="20% - Accent3 33" xfId="135"/>
    <cellStyle name="20% - Accent3 4" xfId="136"/>
    <cellStyle name="20% - Accent3 4 2" xfId="137"/>
    <cellStyle name="20% - Accent3 4 3" xfId="138"/>
    <cellStyle name="20% - Accent3 5" xfId="139"/>
    <cellStyle name="20% - Accent3 5 2" xfId="140"/>
    <cellStyle name="20% - Accent3 5 3" xfId="141"/>
    <cellStyle name="20% - Accent3 6" xfId="142"/>
    <cellStyle name="20% - Accent3 6 2" xfId="143"/>
    <cellStyle name="20% - Accent3 6 3" xfId="144"/>
    <cellStyle name="20% - Accent3 7" xfId="145"/>
    <cellStyle name="20% - Accent3 7 2" xfId="146"/>
    <cellStyle name="20% - Accent3 7 3" xfId="147"/>
    <cellStyle name="20% - Accent3 8" xfId="148"/>
    <cellStyle name="20% - Accent3 8 2" xfId="149"/>
    <cellStyle name="20% - Accent3 8 3" xfId="150"/>
    <cellStyle name="20% - Accent3 9" xfId="151"/>
    <cellStyle name="20% - Accent3 9 2" xfId="152"/>
    <cellStyle name="20% - Accent3 9 3" xfId="153"/>
    <cellStyle name="20% - Accent4 10" xfId="154"/>
    <cellStyle name="20% - Accent4 11" xfId="155"/>
    <cellStyle name="20% - Accent4 12" xfId="156"/>
    <cellStyle name="20% - Accent4 13" xfId="157"/>
    <cellStyle name="20% - Accent4 14" xfId="158"/>
    <cellStyle name="20% - Accent4 15" xfId="159"/>
    <cellStyle name="20% - Accent4 16" xfId="160"/>
    <cellStyle name="20% - Accent4 17" xfId="161"/>
    <cellStyle name="20% - Accent4 18" xfId="162"/>
    <cellStyle name="20% - Accent4 19" xfId="163"/>
    <cellStyle name="20% - Accent4 2" xfId="164"/>
    <cellStyle name="20% - Accent4 2 2" xfId="165"/>
    <cellStyle name="20% - Accent4 2 3" xfId="166"/>
    <cellStyle name="20% - Accent4 20" xfId="167"/>
    <cellStyle name="20% - Accent4 21" xfId="168"/>
    <cellStyle name="20% - Accent4 22" xfId="169"/>
    <cellStyle name="20% - Accent4 23" xfId="170"/>
    <cellStyle name="20% - Accent4 24" xfId="171"/>
    <cellStyle name="20% - Accent4 25" xfId="172"/>
    <cellStyle name="20% - Accent4 26" xfId="173"/>
    <cellStyle name="20% - Accent4 27" xfId="174"/>
    <cellStyle name="20% - Accent4 28" xfId="175"/>
    <cellStyle name="20% - Accent4 29" xfId="176"/>
    <cellStyle name="20% - Accent4 3" xfId="177"/>
    <cellStyle name="20% - Accent4 3 2" xfId="178"/>
    <cellStyle name="20% - Accent4 3 3" xfId="179"/>
    <cellStyle name="20% - Accent4 30" xfId="180"/>
    <cellStyle name="20% - Accent4 31" xfId="181"/>
    <cellStyle name="20% - Accent4 32" xfId="182"/>
    <cellStyle name="20% - Accent4 33" xfId="183"/>
    <cellStyle name="20% - Accent4 4" xfId="184"/>
    <cellStyle name="20% - Accent4 4 2" xfId="185"/>
    <cellStyle name="20% - Accent4 4 3" xfId="186"/>
    <cellStyle name="20% - Accent4 5" xfId="187"/>
    <cellStyle name="20% - Accent4 5 2" xfId="188"/>
    <cellStyle name="20% - Accent4 5 3" xfId="189"/>
    <cellStyle name="20% - Accent4 6" xfId="190"/>
    <cellStyle name="20% - Accent4 6 2" xfId="191"/>
    <cellStyle name="20% - Accent4 6 3" xfId="192"/>
    <cellStyle name="20% - Accent4 7" xfId="193"/>
    <cellStyle name="20% - Accent4 7 2" xfId="194"/>
    <cellStyle name="20% - Accent4 7 3" xfId="195"/>
    <cellStyle name="20% - Accent4 8" xfId="196"/>
    <cellStyle name="20% - Accent4 8 2" xfId="197"/>
    <cellStyle name="20% - Accent4 8 3" xfId="198"/>
    <cellStyle name="20% - Accent4 9" xfId="199"/>
    <cellStyle name="20% - Accent4 9 2" xfId="200"/>
    <cellStyle name="20% - Accent4 9 3" xfId="201"/>
    <cellStyle name="20% - Accent5 10" xfId="202"/>
    <cellStyle name="20% - Accent5 11" xfId="203"/>
    <cellStyle name="20% - Accent5 12" xfId="204"/>
    <cellStyle name="20% - Accent5 13" xfId="205"/>
    <cellStyle name="20% - Accent5 14" xfId="206"/>
    <cellStyle name="20% - Accent5 15" xfId="207"/>
    <cellStyle name="20% - Accent5 16" xfId="208"/>
    <cellStyle name="20% - Accent5 17" xfId="209"/>
    <cellStyle name="20% - Accent5 18" xfId="210"/>
    <cellStyle name="20% - Accent5 19" xfId="211"/>
    <cellStyle name="20% - Accent5 2" xfId="212"/>
    <cellStyle name="20% - Accent5 2 2" xfId="213"/>
    <cellStyle name="20% - Accent5 2 3" xfId="214"/>
    <cellStyle name="20% - Accent5 20" xfId="215"/>
    <cellStyle name="20% - Accent5 21" xfId="216"/>
    <cellStyle name="20% - Accent5 22" xfId="217"/>
    <cellStyle name="20% - Accent5 23" xfId="218"/>
    <cellStyle name="20% - Accent5 24" xfId="219"/>
    <cellStyle name="20% - Accent5 25" xfId="220"/>
    <cellStyle name="20% - Accent5 26" xfId="221"/>
    <cellStyle name="20% - Accent5 27" xfId="222"/>
    <cellStyle name="20% - Accent5 28" xfId="223"/>
    <cellStyle name="20% - Accent5 29" xfId="224"/>
    <cellStyle name="20% - Accent5 3" xfId="225"/>
    <cellStyle name="20% - Accent5 3 2" xfId="226"/>
    <cellStyle name="20% - Accent5 3 3" xfId="227"/>
    <cellStyle name="20% - Accent5 30" xfId="228"/>
    <cellStyle name="20% - Accent5 31" xfId="229"/>
    <cellStyle name="20% - Accent5 32" xfId="230"/>
    <cellStyle name="20% - Accent5 33" xfId="231"/>
    <cellStyle name="20% - Accent5 4" xfId="232"/>
    <cellStyle name="20% - Accent5 4 2" xfId="233"/>
    <cellStyle name="20% - Accent5 4 3" xfId="234"/>
    <cellStyle name="20% - Accent5 5" xfId="235"/>
    <cellStyle name="20% - Accent5 5 2" xfId="236"/>
    <cellStyle name="20% - Accent5 5 3" xfId="237"/>
    <cellStyle name="20% - Accent5 6" xfId="238"/>
    <cellStyle name="20% - Accent5 6 2" xfId="239"/>
    <cellStyle name="20% - Accent5 6 3" xfId="240"/>
    <cellStyle name="20% - Accent5 7" xfId="241"/>
    <cellStyle name="20% - Accent5 7 2" xfId="242"/>
    <cellStyle name="20% - Accent5 7 3" xfId="243"/>
    <cellStyle name="20% - Accent5 8" xfId="244"/>
    <cellStyle name="20% - Accent5 8 2" xfId="245"/>
    <cellStyle name="20% - Accent5 8 3" xfId="246"/>
    <cellStyle name="20% - Accent5 9" xfId="247"/>
    <cellStyle name="20% - Accent5 9 2" xfId="248"/>
    <cellStyle name="20% - Accent5 9 3" xfId="249"/>
    <cellStyle name="20% - Accent6 10" xfId="250"/>
    <cellStyle name="20% - Accent6 11" xfId="251"/>
    <cellStyle name="20% - Accent6 12" xfId="252"/>
    <cellStyle name="20% - Accent6 13" xfId="253"/>
    <cellStyle name="20% - Accent6 14" xfId="254"/>
    <cellStyle name="20% - Accent6 15" xfId="255"/>
    <cellStyle name="20% - Accent6 16" xfId="256"/>
    <cellStyle name="20% - Accent6 17" xfId="257"/>
    <cellStyle name="20% - Accent6 18" xfId="258"/>
    <cellStyle name="20% - Accent6 19" xfId="259"/>
    <cellStyle name="20% - Accent6 2" xfId="260"/>
    <cellStyle name="20% - Accent6 2 2" xfId="261"/>
    <cellStyle name="20% - Accent6 2 3" xfId="262"/>
    <cellStyle name="20% - Accent6 20" xfId="263"/>
    <cellStyle name="20% - Accent6 21" xfId="264"/>
    <cellStyle name="20% - Accent6 22" xfId="265"/>
    <cellStyle name="20% - Accent6 23" xfId="266"/>
    <cellStyle name="20% - Accent6 24" xfId="267"/>
    <cellStyle name="20% - Accent6 25" xfId="268"/>
    <cellStyle name="20% - Accent6 26" xfId="269"/>
    <cellStyle name="20% - Accent6 27" xfId="270"/>
    <cellStyle name="20% - Accent6 28" xfId="271"/>
    <cellStyle name="20% - Accent6 29" xfId="272"/>
    <cellStyle name="20% - Accent6 3" xfId="273"/>
    <cellStyle name="20% - Accent6 3 2" xfId="274"/>
    <cellStyle name="20% - Accent6 3 3" xfId="275"/>
    <cellStyle name="20% - Accent6 30" xfId="276"/>
    <cellStyle name="20% - Accent6 31" xfId="277"/>
    <cellStyle name="20% - Accent6 32" xfId="278"/>
    <cellStyle name="20% - Accent6 33" xfId="279"/>
    <cellStyle name="20% - Accent6 4" xfId="280"/>
    <cellStyle name="20% - Accent6 4 2" xfId="281"/>
    <cellStyle name="20% - Accent6 4 3" xfId="282"/>
    <cellStyle name="20% - Accent6 5" xfId="283"/>
    <cellStyle name="20% - Accent6 5 2" xfId="284"/>
    <cellStyle name="20% - Accent6 5 3" xfId="285"/>
    <cellStyle name="20% - Accent6 6" xfId="286"/>
    <cellStyle name="20% - Accent6 6 2" xfId="287"/>
    <cellStyle name="20% - Accent6 6 3" xfId="288"/>
    <cellStyle name="20% - Accent6 7" xfId="289"/>
    <cellStyle name="20% - Accent6 7 2" xfId="290"/>
    <cellStyle name="20% - Accent6 7 3" xfId="291"/>
    <cellStyle name="20% - Accent6 8" xfId="292"/>
    <cellStyle name="20% - Accent6 8 2" xfId="293"/>
    <cellStyle name="20% - Accent6 8 3" xfId="294"/>
    <cellStyle name="20% - Accent6 9" xfId="295"/>
    <cellStyle name="20% - Accent6 9 2" xfId="296"/>
    <cellStyle name="20% - Accent6 9 3" xfId="297"/>
    <cellStyle name="40% - Accent1 10" xfId="298"/>
    <cellStyle name="40% - Accent1 11" xfId="299"/>
    <cellStyle name="40% - Accent1 12" xfId="300"/>
    <cellStyle name="40% - Accent1 13" xfId="301"/>
    <cellStyle name="40% - Accent1 14" xfId="302"/>
    <cellStyle name="40% - Accent1 15" xfId="303"/>
    <cellStyle name="40% - Accent1 16" xfId="304"/>
    <cellStyle name="40% - Accent1 17" xfId="305"/>
    <cellStyle name="40% - Accent1 18" xfId="306"/>
    <cellStyle name="40% - Accent1 19" xfId="307"/>
    <cellStyle name="40% - Accent1 2" xfId="308"/>
    <cellStyle name="40% - Accent1 2 2" xfId="309"/>
    <cellStyle name="40% - Accent1 2 3" xfId="310"/>
    <cellStyle name="40% - Accent1 20" xfId="311"/>
    <cellStyle name="40% - Accent1 21" xfId="312"/>
    <cellStyle name="40% - Accent1 22" xfId="313"/>
    <cellStyle name="40% - Accent1 23" xfId="314"/>
    <cellStyle name="40% - Accent1 24" xfId="315"/>
    <cellStyle name="40% - Accent1 25" xfId="316"/>
    <cellStyle name="40% - Accent1 26" xfId="317"/>
    <cellStyle name="40% - Accent1 27" xfId="318"/>
    <cellStyle name="40% - Accent1 28" xfId="319"/>
    <cellStyle name="40% - Accent1 29" xfId="320"/>
    <cellStyle name="40% - Accent1 3" xfId="321"/>
    <cellStyle name="40% - Accent1 3 2" xfId="322"/>
    <cellStyle name="40% - Accent1 3 3" xfId="323"/>
    <cellStyle name="40% - Accent1 30" xfId="324"/>
    <cellStyle name="40% - Accent1 31" xfId="325"/>
    <cellStyle name="40% - Accent1 32" xfId="326"/>
    <cellStyle name="40% - Accent1 33" xfId="327"/>
    <cellStyle name="40% - Accent1 4" xfId="328"/>
    <cellStyle name="40% - Accent1 4 2" xfId="329"/>
    <cellStyle name="40% - Accent1 4 3" xfId="330"/>
    <cellStyle name="40% - Accent1 5" xfId="331"/>
    <cellStyle name="40% - Accent1 5 2" xfId="332"/>
    <cellStyle name="40% - Accent1 5 3" xfId="333"/>
    <cellStyle name="40% - Accent1 6" xfId="334"/>
    <cellStyle name="40% - Accent1 6 2" xfId="335"/>
    <cellStyle name="40% - Accent1 6 3" xfId="336"/>
    <cellStyle name="40% - Accent1 7" xfId="337"/>
    <cellStyle name="40% - Accent1 7 2" xfId="338"/>
    <cellStyle name="40% - Accent1 7 3" xfId="339"/>
    <cellStyle name="40% - Accent1 8" xfId="340"/>
    <cellStyle name="40% - Accent1 8 2" xfId="341"/>
    <cellStyle name="40% - Accent1 8 3" xfId="342"/>
    <cellStyle name="40% - Accent1 9" xfId="343"/>
    <cellStyle name="40% - Accent1 9 2" xfId="344"/>
    <cellStyle name="40% - Accent1 9 3" xfId="345"/>
    <cellStyle name="40% - Accent2" xfId="4" builtinId="35"/>
    <cellStyle name="40% - Accent2 10" xfId="346"/>
    <cellStyle name="40% - Accent2 11" xfId="347"/>
    <cellStyle name="40% - Accent2 12" xfId="348"/>
    <cellStyle name="40% - Accent2 13" xfId="349"/>
    <cellStyle name="40% - Accent2 14" xfId="350"/>
    <cellStyle name="40% - Accent2 15" xfId="351"/>
    <cellStyle name="40% - Accent2 16" xfId="352"/>
    <cellStyle name="40% - Accent2 17" xfId="353"/>
    <cellStyle name="40% - Accent2 18" xfId="354"/>
    <cellStyle name="40% - Accent2 19" xfId="355"/>
    <cellStyle name="40% - Accent2 2" xfId="356"/>
    <cellStyle name="40% - Accent2 2 2" xfId="357"/>
    <cellStyle name="40% - Accent2 2 3" xfId="358"/>
    <cellStyle name="40% - Accent2 20" xfId="359"/>
    <cellStyle name="40% - Accent2 21" xfId="360"/>
    <cellStyle name="40% - Accent2 22" xfId="361"/>
    <cellStyle name="40% - Accent2 23" xfId="362"/>
    <cellStyle name="40% - Accent2 24" xfId="363"/>
    <cellStyle name="40% - Accent2 25" xfId="364"/>
    <cellStyle name="40% - Accent2 26" xfId="365"/>
    <cellStyle name="40% - Accent2 27" xfId="366"/>
    <cellStyle name="40% - Accent2 28" xfId="367"/>
    <cellStyle name="40% - Accent2 29" xfId="368"/>
    <cellStyle name="40% - Accent2 3" xfId="369"/>
    <cellStyle name="40% - Accent2 3 2" xfId="370"/>
    <cellStyle name="40% - Accent2 3 3" xfId="371"/>
    <cellStyle name="40% - Accent2 30" xfId="372"/>
    <cellStyle name="40% - Accent2 31" xfId="373"/>
    <cellStyle name="40% - Accent2 32" xfId="374"/>
    <cellStyle name="40% - Accent2 33" xfId="375"/>
    <cellStyle name="40% - Accent2 4" xfId="376"/>
    <cellStyle name="40% - Accent2 4 2" xfId="377"/>
    <cellStyle name="40% - Accent2 4 3" xfId="378"/>
    <cellStyle name="40% - Accent2 5" xfId="379"/>
    <cellStyle name="40% - Accent2 5 2" xfId="380"/>
    <cellStyle name="40% - Accent2 5 3" xfId="381"/>
    <cellStyle name="40% - Accent2 6" xfId="382"/>
    <cellStyle name="40% - Accent2 6 2" xfId="383"/>
    <cellStyle name="40% - Accent2 6 3" xfId="384"/>
    <cellStyle name="40% - Accent2 7" xfId="385"/>
    <cellStyle name="40% - Accent2 7 2" xfId="386"/>
    <cellStyle name="40% - Accent2 7 3" xfId="387"/>
    <cellStyle name="40% - Accent2 8" xfId="388"/>
    <cellStyle name="40% - Accent2 8 2" xfId="389"/>
    <cellStyle name="40% - Accent2 8 3" xfId="390"/>
    <cellStyle name="40% - Accent2 9" xfId="391"/>
    <cellStyle name="40% - Accent2 9 2" xfId="392"/>
    <cellStyle name="40% - Accent2 9 3" xfId="393"/>
    <cellStyle name="40% - Accent3 10" xfId="394"/>
    <cellStyle name="40% - Accent3 11" xfId="395"/>
    <cellStyle name="40% - Accent3 12" xfId="396"/>
    <cellStyle name="40% - Accent3 13" xfId="397"/>
    <cellStyle name="40% - Accent3 14" xfId="398"/>
    <cellStyle name="40% - Accent3 15" xfId="399"/>
    <cellStyle name="40% - Accent3 16" xfId="400"/>
    <cellStyle name="40% - Accent3 17" xfId="401"/>
    <cellStyle name="40% - Accent3 18" xfId="402"/>
    <cellStyle name="40% - Accent3 19" xfId="403"/>
    <cellStyle name="40% - Accent3 2" xfId="404"/>
    <cellStyle name="40% - Accent3 2 2" xfId="405"/>
    <cellStyle name="40% - Accent3 2 3" xfId="406"/>
    <cellStyle name="40% - Accent3 20" xfId="407"/>
    <cellStyle name="40% - Accent3 21" xfId="408"/>
    <cellStyle name="40% - Accent3 22" xfId="409"/>
    <cellStyle name="40% - Accent3 23" xfId="410"/>
    <cellStyle name="40% - Accent3 24" xfId="411"/>
    <cellStyle name="40% - Accent3 25" xfId="412"/>
    <cellStyle name="40% - Accent3 26" xfId="413"/>
    <cellStyle name="40% - Accent3 27" xfId="414"/>
    <cellStyle name="40% - Accent3 28" xfId="415"/>
    <cellStyle name="40% - Accent3 29" xfId="416"/>
    <cellStyle name="40% - Accent3 3" xfId="417"/>
    <cellStyle name="40% - Accent3 3 2" xfId="418"/>
    <cellStyle name="40% - Accent3 3 3" xfId="419"/>
    <cellStyle name="40% - Accent3 30" xfId="420"/>
    <cellStyle name="40% - Accent3 31" xfId="421"/>
    <cellStyle name="40% - Accent3 32" xfId="422"/>
    <cellStyle name="40% - Accent3 33" xfId="423"/>
    <cellStyle name="40% - Accent3 4" xfId="424"/>
    <cellStyle name="40% - Accent3 4 2" xfId="425"/>
    <cellStyle name="40% - Accent3 4 3" xfId="426"/>
    <cellStyle name="40% - Accent3 5" xfId="427"/>
    <cellStyle name="40% - Accent3 5 2" xfId="428"/>
    <cellStyle name="40% - Accent3 5 3" xfId="429"/>
    <cellStyle name="40% - Accent3 6" xfId="430"/>
    <cellStyle name="40% - Accent3 6 2" xfId="431"/>
    <cellStyle name="40% - Accent3 6 3" xfId="432"/>
    <cellStyle name="40% - Accent3 7" xfId="433"/>
    <cellStyle name="40% - Accent3 7 2" xfId="434"/>
    <cellStyle name="40% - Accent3 7 3" xfId="435"/>
    <cellStyle name="40% - Accent3 8" xfId="436"/>
    <cellStyle name="40% - Accent3 8 2" xfId="437"/>
    <cellStyle name="40% - Accent3 8 3" xfId="438"/>
    <cellStyle name="40% - Accent3 9" xfId="439"/>
    <cellStyle name="40% - Accent3 9 2" xfId="440"/>
    <cellStyle name="40% - Accent3 9 3" xfId="441"/>
    <cellStyle name="40% - Accent4" xfId="6" builtinId="43"/>
    <cellStyle name="40% - Accent4 10" xfId="442"/>
    <cellStyle name="40% - Accent4 11" xfId="443"/>
    <cellStyle name="40% - Accent4 12" xfId="444"/>
    <cellStyle name="40% - Accent4 13" xfId="445"/>
    <cellStyle name="40% - Accent4 14" xfId="446"/>
    <cellStyle name="40% - Accent4 15" xfId="447"/>
    <cellStyle name="40% - Accent4 16" xfId="448"/>
    <cellStyle name="40% - Accent4 17" xfId="449"/>
    <cellStyle name="40% - Accent4 18" xfId="450"/>
    <cellStyle name="40% - Accent4 19" xfId="451"/>
    <cellStyle name="40% - Accent4 2" xfId="452"/>
    <cellStyle name="40% - Accent4 2 2" xfId="453"/>
    <cellStyle name="40% - Accent4 2 3" xfId="454"/>
    <cellStyle name="40% - Accent4 20" xfId="455"/>
    <cellStyle name="40% - Accent4 21" xfId="456"/>
    <cellStyle name="40% - Accent4 22" xfId="457"/>
    <cellStyle name="40% - Accent4 23" xfId="458"/>
    <cellStyle name="40% - Accent4 24" xfId="459"/>
    <cellStyle name="40% - Accent4 25" xfId="460"/>
    <cellStyle name="40% - Accent4 26" xfId="461"/>
    <cellStyle name="40% - Accent4 27" xfId="462"/>
    <cellStyle name="40% - Accent4 28" xfId="463"/>
    <cellStyle name="40% - Accent4 29" xfId="464"/>
    <cellStyle name="40% - Accent4 3" xfId="465"/>
    <cellStyle name="40% - Accent4 3 2" xfId="466"/>
    <cellStyle name="40% - Accent4 3 3" xfId="467"/>
    <cellStyle name="40% - Accent4 30" xfId="468"/>
    <cellStyle name="40% - Accent4 31" xfId="469"/>
    <cellStyle name="40% - Accent4 32" xfId="470"/>
    <cellStyle name="40% - Accent4 33" xfId="471"/>
    <cellStyle name="40% - Accent4 4" xfId="472"/>
    <cellStyle name="40% - Accent4 4 2" xfId="473"/>
    <cellStyle name="40% - Accent4 4 3" xfId="474"/>
    <cellStyle name="40% - Accent4 5" xfId="475"/>
    <cellStyle name="40% - Accent4 5 2" xfId="476"/>
    <cellStyle name="40% - Accent4 5 3" xfId="477"/>
    <cellStyle name="40% - Accent4 6" xfId="478"/>
    <cellStyle name="40% - Accent4 6 2" xfId="479"/>
    <cellStyle name="40% - Accent4 6 3" xfId="480"/>
    <cellStyle name="40% - Accent4 7" xfId="481"/>
    <cellStyle name="40% - Accent4 7 2" xfId="482"/>
    <cellStyle name="40% - Accent4 7 3" xfId="483"/>
    <cellStyle name="40% - Accent4 8" xfId="484"/>
    <cellStyle name="40% - Accent4 8 2" xfId="485"/>
    <cellStyle name="40% - Accent4 8 3" xfId="486"/>
    <cellStyle name="40% - Accent4 9" xfId="487"/>
    <cellStyle name="40% - Accent4 9 2" xfId="488"/>
    <cellStyle name="40% - Accent4 9 3" xfId="489"/>
    <cellStyle name="40% - Accent5" xfId="7" builtinId="47"/>
    <cellStyle name="40% - Accent5 10" xfId="490"/>
    <cellStyle name="40% - Accent5 11" xfId="491"/>
    <cellStyle name="40% - Accent5 12" xfId="492"/>
    <cellStyle name="40% - Accent5 13" xfId="493"/>
    <cellStyle name="40% - Accent5 14" xfId="494"/>
    <cellStyle name="40% - Accent5 15" xfId="495"/>
    <cellStyle name="40% - Accent5 16" xfId="496"/>
    <cellStyle name="40% - Accent5 17" xfId="497"/>
    <cellStyle name="40% - Accent5 18" xfId="498"/>
    <cellStyle name="40% - Accent5 19" xfId="499"/>
    <cellStyle name="40% - Accent5 2" xfId="500"/>
    <cellStyle name="40% - Accent5 2 2" xfId="501"/>
    <cellStyle name="40% - Accent5 2 3" xfId="502"/>
    <cellStyle name="40% - Accent5 20" xfId="503"/>
    <cellStyle name="40% - Accent5 21" xfId="504"/>
    <cellStyle name="40% - Accent5 22" xfId="505"/>
    <cellStyle name="40% - Accent5 23" xfId="506"/>
    <cellStyle name="40% - Accent5 24" xfId="507"/>
    <cellStyle name="40% - Accent5 25" xfId="508"/>
    <cellStyle name="40% - Accent5 26" xfId="509"/>
    <cellStyle name="40% - Accent5 27" xfId="510"/>
    <cellStyle name="40% - Accent5 28" xfId="511"/>
    <cellStyle name="40% - Accent5 29" xfId="512"/>
    <cellStyle name="40% - Accent5 3" xfId="513"/>
    <cellStyle name="40% - Accent5 3 2" xfId="514"/>
    <cellStyle name="40% - Accent5 3 3" xfId="515"/>
    <cellStyle name="40% - Accent5 30" xfId="516"/>
    <cellStyle name="40% - Accent5 31" xfId="517"/>
    <cellStyle name="40% - Accent5 32" xfId="518"/>
    <cellStyle name="40% - Accent5 33" xfId="519"/>
    <cellStyle name="40% - Accent5 4" xfId="520"/>
    <cellStyle name="40% - Accent5 4 2" xfId="521"/>
    <cellStyle name="40% - Accent5 4 3" xfId="522"/>
    <cellStyle name="40% - Accent5 5" xfId="523"/>
    <cellStyle name="40% - Accent5 5 2" xfId="524"/>
    <cellStyle name="40% - Accent5 5 3" xfId="525"/>
    <cellStyle name="40% - Accent5 6" xfId="526"/>
    <cellStyle name="40% - Accent5 6 2" xfId="527"/>
    <cellStyle name="40% - Accent5 6 3" xfId="528"/>
    <cellStyle name="40% - Accent5 7" xfId="529"/>
    <cellStyle name="40% - Accent5 7 2" xfId="530"/>
    <cellStyle name="40% - Accent5 7 3" xfId="531"/>
    <cellStyle name="40% - Accent5 8" xfId="532"/>
    <cellStyle name="40% - Accent5 8 2" xfId="533"/>
    <cellStyle name="40% - Accent5 8 3" xfId="534"/>
    <cellStyle name="40% - Accent5 9" xfId="535"/>
    <cellStyle name="40% - Accent5 9 2" xfId="536"/>
    <cellStyle name="40% - Accent5 9 3" xfId="537"/>
    <cellStyle name="40% - Accent6 10" xfId="538"/>
    <cellStyle name="40% - Accent6 11" xfId="539"/>
    <cellStyle name="40% - Accent6 12" xfId="540"/>
    <cellStyle name="40% - Accent6 13" xfId="541"/>
    <cellStyle name="40% - Accent6 14" xfId="542"/>
    <cellStyle name="40% - Accent6 15" xfId="543"/>
    <cellStyle name="40% - Accent6 16" xfId="544"/>
    <cellStyle name="40% - Accent6 17" xfId="545"/>
    <cellStyle name="40% - Accent6 18" xfId="546"/>
    <cellStyle name="40% - Accent6 19" xfId="547"/>
    <cellStyle name="40% - Accent6 2" xfId="548"/>
    <cellStyle name="40% - Accent6 2 2" xfId="549"/>
    <cellStyle name="40% - Accent6 2 3" xfId="550"/>
    <cellStyle name="40% - Accent6 20" xfId="551"/>
    <cellStyle name="40% - Accent6 21" xfId="552"/>
    <cellStyle name="40% - Accent6 22" xfId="553"/>
    <cellStyle name="40% - Accent6 23" xfId="554"/>
    <cellStyle name="40% - Accent6 24" xfId="555"/>
    <cellStyle name="40% - Accent6 25" xfId="556"/>
    <cellStyle name="40% - Accent6 26" xfId="557"/>
    <cellStyle name="40% - Accent6 27" xfId="558"/>
    <cellStyle name="40% - Accent6 28" xfId="559"/>
    <cellStyle name="40% - Accent6 29" xfId="560"/>
    <cellStyle name="40% - Accent6 3" xfId="561"/>
    <cellStyle name="40% - Accent6 3 2" xfId="562"/>
    <cellStyle name="40% - Accent6 3 3" xfId="563"/>
    <cellStyle name="40% - Accent6 30" xfId="564"/>
    <cellStyle name="40% - Accent6 31" xfId="565"/>
    <cellStyle name="40% - Accent6 32" xfId="566"/>
    <cellStyle name="40% - Accent6 33" xfId="567"/>
    <cellStyle name="40% - Accent6 4" xfId="568"/>
    <cellStyle name="40% - Accent6 4 2" xfId="569"/>
    <cellStyle name="40% - Accent6 4 3" xfId="570"/>
    <cellStyle name="40% - Accent6 5" xfId="571"/>
    <cellStyle name="40% - Accent6 5 2" xfId="572"/>
    <cellStyle name="40% - Accent6 5 3" xfId="573"/>
    <cellStyle name="40% - Accent6 6" xfId="574"/>
    <cellStyle name="40% - Accent6 6 2" xfId="575"/>
    <cellStyle name="40% - Accent6 6 3" xfId="576"/>
    <cellStyle name="40% - Accent6 7" xfId="577"/>
    <cellStyle name="40% - Accent6 7 2" xfId="578"/>
    <cellStyle name="40% - Accent6 7 3" xfId="579"/>
    <cellStyle name="40% - Accent6 8" xfId="580"/>
    <cellStyle name="40% - Accent6 8 2" xfId="581"/>
    <cellStyle name="40% - Accent6 8 3" xfId="582"/>
    <cellStyle name="40% - Accent6 9" xfId="583"/>
    <cellStyle name="40% - Accent6 9 2" xfId="584"/>
    <cellStyle name="40% - Accent6 9 3" xfId="585"/>
    <cellStyle name="60% - Accent1 10" xfId="586"/>
    <cellStyle name="60% - Accent1 11" xfId="587"/>
    <cellStyle name="60% - Accent1 12" xfId="588"/>
    <cellStyle name="60% - Accent1 13" xfId="589"/>
    <cellStyle name="60% - Accent1 14" xfId="590"/>
    <cellStyle name="60% - Accent1 15" xfId="591"/>
    <cellStyle name="60% - Accent1 16" xfId="592"/>
    <cellStyle name="60% - Accent1 17" xfId="593"/>
    <cellStyle name="60% - Accent1 18" xfId="594"/>
    <cellStyle name="60% - Accent1 19" xfId="595"/>
    <cellStyle name="60% - Accent1 2" xfId="596"/>
    <cellStyle name="60% - Accent1 2 2" xfId="597"/>
    <cellStyle name="60% - Accent1 2 3" xfId="598"/>
    <cellStyle name="60% - Accent1 20" xfId="599"/>
    <cellStyle name="60% - Accent1 21" xfId="600"/>
    <cellStyle name="60% - Accent1 22" xfId="601"/>
    <cellStyle name="60% - Accent1 23" xfId="602"/>
    <cellStyle name="60% - Accent1 24" xfId="603"/>
    <cellStyle name="60% - Accent1 25" xfId="604"/>
    <cellStyle name="60% - Accent1 26" xfId="605"/>
    <cellStyle name="60% - Accent1 27" xfId="606"/>
    <cellStyle name="60% - Accent1 28" xfId="607"/>
    <cellStyle name="60% - Accent1 29" xfId="608"/>
    <cellStyle name="60% - Accent1 3" xfId="609"/>
    <cellStyle name="60% - Accent1 3 2" xfId="610"/>
    <cellStyle name="60% - Accent1 3 3" xfId="611"/>
    <cellStyle name="60% - Accent1 30" xfId="612"/>
    <cellStyle name="60% - Accent1 31" xfId="613"/>
    <cellStyle name="60% - Accent1 32" xfId="614"/>
    <cellStyle name="60% - Accent1 33" xfId="615"/>
    <cellStyle name="60% - Accent1 4" xfId="616"/>
    <cellStyle name="60% - Accent1 4 2" xfId="617"/>
    <cellStyle name="60% - Accent1 4 3" xfId="618"/>
    <cellStyle name="60% - Accent1 5" xfId="619"/>
    <cellStyle name="60% - Accent1 5 2" xfId="620"/>
    <cellStyle name="60% - Accent1 5 3" xfId="621"/>
    <cellStyle name="60% - Accent1 6" xfId="622"/>
    <cellStyle name="60% - Accent1 6 2" xfId="623"/>
    <cellStyle name="60% - Accent1 6 3" xfId="624"/>
    <cellStyle name="60% - Accent1 7" xfId="625"/>
    <cellStyle name="60% - Accent1 7 2" xfId="626"/>
    <cellStyle name="60% - Accent1 7 3" xfId="627"/>
    <cellStyle name="60% - Accent1 8" xfId="628"/>
    <cellStyle name="60% - Accent1 8 2" xfId="629"/>
    <cellStyle name="60% - Accent1 8 3" xfId="630"/>
    <cellStyle name="60% - Accent1 9" xfId="631"/>
    <cellStyle name="60% - Accent1 9 2" xfId="632"/>
    <cellStyle name="60% - Accent1 9 3" xfId="633"/>
    <cellStyle name="60% - Accent2" xfId="5" builtinId="36"/>
    <cellStyle name="60% - Accent2 10" xfId="634"/>
    <cellStyle name="60% - Accent2 11" xfId="635"/>
    <cellStyle name="60% - Accent2 12" xfId="636"/>
    <cellStyle name="60% - Accent2 13" xfId="637"/>
    <cellStyle name="60% - Accent2 14" xfId="638"/>
    <cellStyle name="60% - Accent2 15" xfId="639"/>
    <cellStyle name="60% - Accent2 16" xfId="640"/>
    <cellStyle name="60% - Accent2 17" xfId="641"/>
    <cellStyle name="60% - Accent2 18" xfId="642"/>
    <cellStyle name="60% - Accent2 19" xfId="643"/>
    <cellStyle name="60% - Accent2 2" xfId="644"/>
    <cellStyle name="60% - Accent2 2 2" xfId="645"/>
    <cellStyle name="60% - Accent2 2 3" xfId="646"/>
    <cellStyle name="60% - Accent2 20" xfId="647"/>
    <cellStyle name="60% - Accent2 21" xfId="648"/>
    <cellStyle name="60% - Accent2 22" xfId="649"/>
    <cellStyle name="60% - Accent2 23" xfId="650"/>
    <cellStyle name="60% - Accent2 24" xfId="651"/>
    <cellStyle name="60% - Accent2 25" xfId="652"/>
    <cellStyle name="60% - Accent2 26" xfId="653"/>
    <cellStyle name="60% - Accent2 27" xfId="654"/>
    <cellStyle name="60% - Accent2 28" xfId="655"/>
    <cellStyle name="60% - Accent2 29" xfId="656"/>
    <cellStyle name="60% - Accent2 3" xfId="657"/>
    <cellStyle name="60% - Accent2 3 2" xfId="658"/>
    <cellStyle name="60% - Accent2 3 3" xfId="659"/>
    <cellStyle name="60% - Accent2 30" xfId="660"/>
    <cellStyle name="60% - Accent2 31" xfId="661"/>
    <cellStyle name="60% - Accent2 32" xfId="662"/>
    <cellStyle name="60% - Accent2 33" xfId="663"/>
    <cellStyle name="60% - Accent2 4" xfId="664"/>
    <cellStyle name="60% - Accent2 4 2" xfId="665"/>
    <cellStyle name="60% - Accent2 4 3" xfId="666"/>
    <cellStyle name="60% - Accent2 5" xfId="667"/>
    <cellStyle name="60% - Accent2 5 2" xfId="668"/>
    <cellStyle name="60% - Accent2 5 3" xfId="669"/>
    <cellStyle name="60% - Accent2 6" xfId="670"/>
    <cellStyle name="60% - Accent2 6 2" xfId="671"/>
    <cellStyle name="60% - Accent2 6 3" xfId="672"/>
    <cellStyle name="60% - Accent2 7" xfId="673"/>
    <cellStyle name="60% - Accent2 7 2" xfId="674"/>
    <cellStyle name="60% - Accent2 7 3" xfId="675"/>
    <cellStyle name="60% - Accent2 8" xfId="676"/>
    <cellStyle name="60% - Accent2 8 2" xfId="677"/>
    <cellStyle name="60% - Accent2 8 3" xfId="678"/>
    <cellStyle name="60% - Accent2 9" xfId="679"/>
    <cellStyle name="60% - Accent2 9 2" xfId="680"/>
    <cellStyle name="60% - Accent2 9 3" xfId="681"/>
    <cellStyle name="60% - Accent3 10" xfId="682"/>
    <cellStyle name="60% - Accent3 11" xfId="683"/>
    <cellStyle name="60% - Accent3 12" xfId="684"/>
    <cellStyle name="60% - Accent3 13" xfId="685"/>
    <cellStyle name="60% - Accent3 14" xfId="686"/>
    <cellStyle name="60% - Accent3 15" xfId="687"/>
    <cellStyle name="60% - Accent3 16" xfId="688"/>
    <cellStyle name="60% - Accent3 17" xfId="689"/>
    <cellStyle name="60% - Accent3 18" xfId="690"/>
    <cellStyle name="60% - Accent3 19" xfId="691"/>
    <cellStyle name="60% - Accent3 2" xfId="692"/>
    <cellStyle name="60% - Accent3 2 2" xfId="693"/>
    <cellStyle name="60% - Accent3 2 3" xfId="694"/>
    <cellStyle name="60% - Accent3 20" xfId="695"/>
    <cellStyle name="60% - Accent3 21" xfId="696"/>
    <cellStyle name="60% - Accent3 22" xfId="697"/>
    <cellStyle name="60% - Accent3 23" xfId="698"/>
    <cellStyle name="60% - Accent3 24" xfId="699"/>
    <cellStyle name="60% - Accent3 25" xfId="700"/>
    <cellStyle name="60% - Accent3 26" xfId="701"/>
    <cellStyle name="60% - Accent3 27" xfId="702"/>
    <cellStyle name="60% - Accent3 28" xfId="703"/>
    <cellStyle name="60% - Accent3 29" xfId="704"/>
    <cellStyle name="60% - Accent3 3" xfId="705"/>
    <cellStyle name="60% - Accent3 3 2" xfId="706"/>
    <cellStyle name="60% - Accent3 3 3" xfId="707"/>
    <cellStyle name="60% - Accent3 30" xfId="708"/>
    <cellStyle name="60% - Accent3 31" xfId="709"/>
    <cellStyle name="60% - Accent3 32" xfId="710"/>
    <cellStyle name="60% - Accent3 33" xfId="711"/>
    <cellStyle name="60% - Accent3 4" xfId="712"/>
    <cellStyle name="60% - Accent3 4 2" xfId="713"/>
    <cellStyle name="60% - Accent3 4 3" xfId="714"/>
    <cellStyle name="60% - Accent3 5" xfId="715"/>
    <cellStyle name="60% - Accent3 5 2" xfId="716"/>
    <cellStyle name="60% - Accent3 5 3" xfId="717"/>
    <cellStyle name="60% - Accent3 6" xfId="718"/>
    <cellStyle name="60% - Accent3 6 2" xfId="719"/>
    <cellStyle name="60% - Accent3 6 3" xfId="720"/>
    <cellStyle name="60% - Accent3 7" xfId="721"/>
    <cellStyle name="60% - Accent3 7 2" xfId="722"/>
    <cellStyle name="60% - Accent3 7 3" xfId="723"/>
    <cellStyle name="60% - Accent3 8" xfId="724"/>
    <cellStyle name="60% - Accent3 8 2" xfId="725"/>
    <cellStyle name="60% - Accent3 8 3" xfId="726"/>
    <cellStyle name="60% - Accent3 9" xfId="727"/>
    <cellStyle name="60% - Accent3 9 2" xfId="728"/>
    <cellStyle name="60% - Accent3 9 3" xfId="729"/>
    <cellStyle name="60% - Accent4 10" xfId="730"/>
    <cellStyle name="60% - Accent4 11" xfId="731"/>
    <cellStyle name="60% - Accent4 12" xfId="732"/>
    <cellStyle name="60% - Accent4 13" xfId="733"/>
    <cellStyle name="60% - Accent4 14" xfId="734"/>
    <cellStyle name="60% - Accent4 15" xfId="735"/>
    <cellStyle name="60% - Accent4 16" xfId="736"/>
    <cellStyle name="60% - Accent4 17" xfId="737"/>
    <cellStyle name="60% - Accent4 18" xfId="738"/>
    <cellStyle name="60% - Accent4 19" xfId="739"/>
    <cellStyle name="60% - Accent4 2" xfId="740"/>
    <cellStyle name="60% - Accent4 2 2" xfId="741"/>
    <cellStyle name="60% - Accent4 2 3" xfId="742"/>
    <cellStyle name="60% - Accent4 20" xfId="743"/>
    <cellStyle name="60% - Accent4 21" xfId="744"/>
    <cellStyle name="60% - Accent4 22" xfId="745"/>
    <cellStyle name="60% - Accent4 23" xfId="746"/>
    <cellStyle name="60% - Accent4 24" xfId="747"/>
    <cellStyle name="60% - Accent4 25" xfId="748"/>
    <cellStyle name="60% - Accent4 26" xfId="749"/>
    <cellStyle name="60% - Accent4 27" xfId="750"/>
    <cellStyle name="60% - Accent4 28" xfId="751"/>
    <cellStyle name="60% - Accent4 29" xfId="752"/>
    <cellStyle name="60% - Accent4 3" xfId="753"/>
    <cellStyle name="60% - Accent4 3 2" xfId="754"/>
    <cellStyle name="60% - Accent4 3 3" xfId="755"/>
    <cellStyle name="60% - Accent4 30" xfId="756"/>
    <cellStyle name="60% - Accent4 31" xfId="757"/>
    <cellStyle name="60% - Accent4 32" xfId="758"/>
    <cellStyle name="60% - Accent4 33" xfId="759"/>
    <cellStyle name="60% - Accent4 4" xfId="760"/>
    <cellStyle name="60% - Accent4 4 2" xfId="761"/>
    <cellStyle name="60% - Accent4 4 3" xfId="762"/>
    <cellStyle name="60% - Accent4 5" xfId="763"/>
    <cellStyle name="60% - Accent4 5 2" xfId="764"/>
    <cellStyle name="60% - Accent4 5 3" xfId="765"/>
    <cellStyle name="60% - Accent4 6" xfId="766"/>
    <cellStyle name="60% - Accent4 6 2" xfId="767"/>
    <cellStyle name="60% - Accent4 6 3" xfId="768"/>
    <cellStyle name="60% - Accent4 7" xfId="769"/>
    <cellStyle name="60% - Accent4 7 2" xfId="770"/>
    <cellStyle name="60% - Accent4 7 3" xfId="771"/>
    <cellStyle name="60% - Accent4 8" xfId="772"/>
    <cellStyle name="60% - Accent4 8 2" xfId="773"/>
    <cellStyle name="60% - Accent4 8 3" xfId="774"/>
    <cellStyle name="60% - Accent4 9" xfId="775"/>
    <cellStyle name="60% - Accent4 9 2" xfId="776"/>
    <cellStyle name="60% - Accent4 9 3" xfId="777"/>
    <cellStyle name="60% - Accent5 10" xfId="778"/>
    <cellStyle name="60% - Accent5 11" xfId="779"/>
    <cellStyle name="60% - Accent5 12" xfId="780"/>
    <cellStyle name="60% - Accent5 13" xfId="781"/>
    <cellStyle name="60% - Accent5 14" xfId="782"/>
    <cellStyle name="60% - Accent5 15" xfId="783"/>
    <cellStyle name="60% - Accent5 16" xfId="784"/>
    <cellStyle name="60% - Accent5 17" xfId="785"/>
    <cellStyle name="60% - Accent5 18" xfId="786"/>
    <cellStyle name="60% - Accent5 19" xfId="787"/>
    <cellStyle name="60% - Accent5 2" xfId="788"/>
    <cellStyle name="60% - Accent5 2 2" xfId="789"/>
    <cellStyle name="60% - Accent5 2 3" xfId="790"/>
    <cellStyle name="60% - Accent5 20" xfId="791"/>
    <cellStyle name="60% - Accent5 21" xfId="792"/>
    <cellStyle name="60% - Accent5 22" xfId="793"/>
    <cellStyle name="60% - Accent5 23" xfId="794"/>
    <cellStyle name="60% - Accent5 24" xfId="795"/>
    <cellStyle name="60% - Accent5 25" xfId="796"/>
    <cellStyle name="60% - Accent5 26" xfId="797"/>
    <cellStyle name="60% - Accent5 27" xfId="798"/>
    <cellStyle name="60% - Accent5 28" xfId="799"/>
    <cellStyle name="60% - Accent5 29" xfId="800"/>
    <cellStyle name="60% - Accent5 3" xfId="801"/>
    <cellStyle name="60% - Accent5 3 2" xfId="802"/>
    <cellStyle name="60% - Accent5 3 3" xfId="803"/>
    <cellStyle name="60% - Accent5 30" xfId="804"/>
    <cellStyle name="60% - Accent5 31" xfId="805"/>
    <cellStyle name="60% - Accent5 32" xfId="806"/>
    <cellStyle name="60% - Accent5 33" xfId="807"/>
    <cellStyle name="60% - Accent5 4" xfId="808"/>
    <cellStyle name="60% - Accent5 4 2" xfId="809"/>
    <cellStyle name="60% - Accent5 4 3" xfId="810"/>
    <cellStyle name="60% - Accent5 5" xfId="811"/>
    <cellStyle name="60% - Accent5 5 2" xfId="812"/>
    <cellStyle name="60% - Accent5 5 3" xfId="813"/>
    <cellStyle name="60% - Accent5 6" xfId="814"/>
    <cellStyle name="60% - Accent5 6 2" xfId="815"/>
    <cellStyle name="60% - Accent5 6 3" xfId="816"/>
    <cellStyle name="60% - Accent5 7" xfId="817"/>
    <cellStyle name="60% - Accent5 7 2" xfId="818"/>
    <cellStyle name="60% - Accent5 7 3" xfId="819"/>
    <cellStyle name="60% - Accent5 8" xfId="820"/>
    <cellStyle name="60% - Accent5 8 2" xfId="821"/>
    <cellStyle name="60% - Accent5 8 3" xfId="822"/>
    <cellStyle name="60% - Accent5 9" xfId="823"/>
    <cellStyle name="60% - Accent5 9 2" xfId="824"/>
    <cellStyle name="60% - Accent5 9 3" xfId="825"/>
    <cellStyle name="60% - Accent6 10" xfId="826"/>
    <cellStyle name="60% - Accent6 11" xfId="827"/>
    <cellStyle name="60% - Accent6 12" xfId="828"/>
    <cellStyle name="60% - Accent6 13" xfId="829"/>
    <cellStyle name="60% - Accent6 14" xfId="830"/>
    <cellStyle name="60% - Accent6 15" xfId="831"/>
    <cellStyle name="60% - Accent6 16" xfId="832"/>
    <cellStyle name="60% - Accent6 17" xfId="833"/>
    <cellStyle name="60% - Accent6 18" xfId="834"/>
    <cellStyle name="60% - Accent6 19" xfId="835"/>
    <cellStyle name="60% - Accent6 2" xfId="836"/>
    <cellStyle name="60% - Accent6 2 2" xfId="837"/>
    <cellStyle name="60% - Accent6 2 3" xfId="838"/>
    <cellStyle name="60% - Accent6 20" xfId="839"/>
    <cellStyle name="60% - Accent6 21" xfId="840"/>
    <cellStyle name="60% - Accent6 22" xfId="841"/>
    <cellStyle name="60% - Accent6 23" xfId="842"/>
    <cellStyle name="60% - Accent6 24" xfId="843"/>
    <cellStyle name="60% - Accent6 25" xfId="844"/>
    <cellStyle name="60% - Accent6 26" xfId="845"/>
    <cellStyle name="60% - Accent6 27" xfId="846"/>
    <cellStyle name="60% - Accent6 28" xfId="847"/>
    <cellStyle name="60% - Accent6 29" xfId="848"/>
    <cellStyle name="60% - Accent6 3" xfId="849"/>
    <cellStyle name="60% - Accent6 3 2" xfId="850"/>
    <cellStyle name="60% - Accent6 3 3" xfId="851"/>
    <cellStyle name="60% - Accent6 30" xfId="852"/>
    <cellStyle name="60% - Accent6 31" xfId="853"/>
    <cellStyle name="60% - Accent6 32" xfId="854"/>
    <cellStyle name="60% - Accent6 33" xfId="855"/>
    <cellStyle name="60% - Accent6 4" xfId="856"/>
    <cellStyle name="60% - Accent6 4 2" xfId="857"/>
    <cellStyle name="60% - Accent6 4 3" xfId="858"/>
    <cellStyle name="60% - Accent6 5" xfId="859"/>
    <cellStyle name="60% - Accent6 5 2" xfId="860"/>
    <cellStyle name="60% - Accent6 5 3" xfId="861"/>
    <cellStyle name="60% - Accent6 6" xfId="862"/>
    <cellStyle name="60% - Accent6 6 2" xfId="863"/>
    <cellStyle name="60% - Accent6 6 3" xfId="864"/>
    <cellStyle name="60% - Accent6 7" xfId="865"/>
    <cellStyle name="60% - Accent6 7 2" xfId="866"/>
    <cellStyle name="60% - Accent6 7 3" xfId="867"/>
    <cellStyle name="60% - Accent6 8" xfId="868"/>
    <cellStyle name="60% - Accent6 8 2" xfId="869"/>
    <cellStyle name="60% - Accent6 8 3" xfId="870"/>
    <cellStyle name="60% - Accent6 9" xfId="871"/>
    <cellStyle name="60% - Accent6 9 2" xfId="872"/>
    <cellStyle name="60% - Accent6 9 3" xfId="873"/>
    <cellStyle name="Accent1 10" xfId="874"/>
    <cellStyle name="Accent1 11" xfId="875"/>
    <cellStyle name="Accent1 12" xfId="876"/>
    <cellStyle name="Accent1 13" xfId="877"/>
    <cellStyle name="Accent1 14" xfId="878"/>
    <cellStyle name="Accent1 15" xfId="879"/>
    <cellStyle name="Accent1 16" xfId="880"/>
    <cellStyle name="Accent1 17" xfId="881"/>
    <cellStyle name="Accent1 18" xfId="882"/>
    <cellStyle name="Accent1 19" xfId="883"/>
    <cellStyle name="Accent1 2" xfId="884"/>
    <cellStyle name="Accent1 2 2" xfId="885"/>
    <cellStyle name="Accent1 2 3" xfId="886"/>
    <cellStyle name="Accent1 20" xfId="887"/>
    <cellStyle name="Accent1 21" xfId="888"/>
    <cellStyle name="Accent1 22" xfId="889"/>
    <cellStyle name="Accent1 23" xfId="890"/>
    <cellStyle name="Accent1 24" xfId="891"/>
    <cellStyle name="Accent1 25" xfId="892"/>
    <cellStyle name="Accent1 26" xfId="893"/>
    <cellStyle name="Accent1 27" xfId="894"/>
    <cellStyle name="Accent1 28" xfId="895"/>
    <cellStyle name="Accent1 29" xfId="896"/>
    <cellStyle name="Accent1 3" xfId="897"/>
    <cellStyle name="Accent1 3 2" xfId="898"/>
    <cellStyle name="Accent1 3 3" xfId="899"/>
    <cellStyle name="Accent1 30" xfId="900"/>
    <cellStyle name="Accent1 31" xfId="901"/>
    <cellStyle name="Accent1 32" xfId="902"/>
    <cellStyle name="Accent1 33" xfId="903"/>
    <cellStyle name="Accent1 34" xfId="904"/>
    <cellStyle name="Accent1 4" xfId="905"/>
    <cellStyle name="Accent1 4 2" xfId="906"/>
    <cellStyle name="Accent1 4 3" xfId="907"/>
    <cellStyle name="Accent1 5" xfId="908"/>
    <cellStyle name="Accent1 5 2" xfId="909"/>
    <cellStyle name="Accent1 5 3" xfId="910"/>
    <cellStyle name="Accent1 6" xfId="911"/>
    <cellStyle name="Accent1 6 2" xfId="912"/>
    <cellStyle name="Accent1 6 3" xfId="913"/>
    <cellStyle name="Accent1 7" xfId="914"/>
    <cellStyle name="Accent1 7 2" xfId="915"/>
    <cellStyle name="Accent1 7 3" xfId="916"/>
    <cellStyle name="Accent1 8" xfId="917"/>
    <cellStyle name="Accent1 8 2" xfId="918"/>
    <cellStyle name="Accent1 8 3" xfId="919"/>
    <cellStyle name="Accent1 9" xfId="920"/>
    <cellStyle name="Accent1 9 2" xfId="921"/>
    <cellStyle name="Accent1 9 3" xfId="922"/>
    <cellStyle name="Accent2 10" xfId="923"/>
    <cellStyle name="Accent2 11" xfId="924"/>
    <cellStyle name="Accent2 12" xfId="925"/>
    <cellStyle name="Accent2 13" xfId="926"/>
    <cellStyle name="Accent2 14" xfId="927"/>
    <cellStyle name="Accent2 15" xfId="928"/>
    <cellStyle name="Accent2 16" xfId="929"/>
    <cellStyle name="Accent2 17" xfId="930"/>
    <cellStyle name="Accent2 18" xfId="931"/>
    <cellStyle name="Accent2 19" xfId="932"/>
    <cellStyle name="Accent2 2" xfId="933"/>
    <cellStyle name="Accent2 2 2" xfId="934"/>
    <cellStyle name="Accent2 2 3" xfId="935"/>
    <cellStyle name="Accent2 20" xfId="936"/>
    <cellStyle name="Accent2 21" xfId="937"/>
    <cellStyle name="Accent2 22" xfId="938"/>
    <cellStyle name="Accent2 23" xfId="939"/>
    <cellStyle name="Accent2 24" xfId="940"/>
    <cellStyle name="Accent2 25" xfId="941"/>
    <cellStyle name="Accent2 26" xfId="942"/>
    <cellStyle name="Accent2 27" xfId="943"/>
    <cellStyle name="Accent2 28" xfId="944"/>
    <cellStyle name="Accent2 29" xfId="945"/>
    <cellStyle name="Accent2 3" xfId="946"/>
    <cellStyle name="Accent2 3 2" xfId="947"/>
    <cellStyle name="Accent2 3 3" xfId="948"/>
    <cellStyle name="Accent2 30" xfId="949"/>
    <cellStyle name="Accent2 31" xfId="950"/>
    <cellStyle name="Accent2 32" xfId="951"/>
    <cellStyle name="Accent2 33" xfId="952"/>
    <cellStyle name="Accent2 4" xfId="953"/>
    <cellStyle name="Accent2 4 2" xfId="954"/>
    <cellStyle name="Accent2 4 3" xfId="955"/>
    <cellStyle name="Accent2 5" xfId="956"/>
    <cellStyle name="Accent2 5 2" xfId="957"/>
    <cellStyle name="Accent2 5 3" xfId="958"/>
    <cellStyle name="Accent2 6" xfId="959"/>
    <cellStyle name="Accent2 6 2" xfId="960"/>
    <cellStyle name="Accent2 6 3" xfId="961"/>
    <cellStyle name="Accent2 7" xfId="962"/>
    <cellStyle name="Accent2 7 2" xfId="963"/>
    <cellStyle name="Accent2 7 3" xfId="964"/>
    <cellStyle name="Accent2 8" xfId="965"/>
    <cellStyle name="Accent2 8 2" xfId="966"/>
    <cellStyle name="Accent2 8 3" xfId="967"/>
    <cellStyle name="Accent2 9" xfId="968"/>
    <cellStyle name="Accent2 9 2" xfId="969"/>
    <cellStyle name="Accent2 9 3" xfId="970"/>
    <cellStyle name="Accent3 10" xfId="971"/>
    <cellStyle name="Accent3 11" xfId="972"/>
    <cellStyle name="Accent3 12" xfId="973"/>
    <cellStyle name="Accent3 13" xfId="974"/>
    <cellStyle name="Accent3 14" xfId="975"/>
    <cellStyle name="Accent3 15" xfId="976"/>
    <cellStyle name="Accent3 16" xfId="977"/>
    <cellStyle name="Accent3 17" xfId="978"/>
    <cellStyle name="Accent3 18" xfId="979"/>
    <cellStyle name="Accent3 19" xfId="980"/>
    <cellStyle name="Accent3 2" xfId="981"/>
    <cellStyle name="Accent3 2 2" xfId="982"/>
    <cellStyle name="Accent3 2 3" xfId="983"/>
    <cellStyle name="Accent3 20" xfId="984"/>
    <cellStyle name="Accent3 21" xfId="985"/>
    <cellStyle name="Accent3 22" xfId="986"/>
    <cellStyle name="Accent3 23" xfId="987"/>
    <cellStyle name="Accent3 24" xfId="988"/>
    <cellStyle name="Accent3 25" xfId="989"/>
    <cellStyle name="Accent3 26" xfId="990"/>
    <cellStyle name="Accent3 27" xfId="991"/>
    <cellStyle name="Accent3 28" xfId="992"/>
    <cellStyle name="Accent3 29" xfId="993"/>
    <cellStyle name="Accent3 3" xfId="994"/>
    <cellStyle name="Accent3 3 2" xfId="995"/>
    <cellStyle name="Accent3 3 3" xfId="996"/>
    <cellStyle name="Accent3 30" xfId="997"/>
    <cellStyle name="Accent3 31" xfId="998"/>
    <cellStyle name="Accent3 32" xfId="999"/>
    <cellStyle name="Accent3 33" xfId="1000"/>
    <cellStyle name="Accent3 4" xfId="1001"/>
    <cellStyle name="Accent3 4 2" xfId="1002"/>
    <cellStyle name="Accent3 4 3" xfId="1003"/>
    <cellStyle name="Accent3 5" xfId="1004"/>
    <cellStyle name="Accent3 5 2" xfId="1005"/>
    <cellStyle name="Accent3 5 3" xfId="1006"/>
    <cellStyle name="Accent3 6" xfId="1007"/>
    <cellStyle name="Accent3 6 2" xfId="1008"/>
    <cellStyle name="Accent3 6 3" xfId="1009"/>
    <cellStyle name="Accent3 7" xfId="1010"/>
    <cellStyle name="Accent3 7 2" xfId="1011"/>
    <cellStyle name="Accent3 7 3" xfId="1012"/>
    <cellStyle name="Accent3 8" xfId="1013"/>
    <cellStyle name="Accent3 8 2" xfId="1014"/>
    <cellStyle name="Accent3 8 3" xfId="1015"/>
    <cellStyle name="Accent3 9" xfId="1016"/>
    <cellStyle name="Accent3 9 2" xfId="1017"/>
    <cellStyle name="Accent3 9 3" xfId="1018"/>
    <cellStyle name="Accent4 10" xfId="1019"/>
    <cellStyle name="Accent4 11" xfId="1020"/>
    <cellStyle name="Accent4 12" xfId="1021"/>
    <cellStyle name="Accent4 13" xfId="1022"/>
    <cellStyle name="Accent4 14" xfId="1023"/>
    <cellStyle name="Accent4 15" xfId="1024"/>
    <cellStyle name="Accent4 16" xfId="1025"/>
    <cellStyle name="Accent4 17" xfId="1026"/>
    <cellStyle name="Accent4 18" xfId="1027"/>
    <cellStyle name="Accent4 19" xfId="1028"/>
    <cellStyle name="Accent4 2" xfId="1029"/>
    <cellStyle name="Accent4 2 2" xfId="1030"/>
    <cellStyle name="Accent4 2 3" xfId="1031"/>
    <cellStyle name="Accent4 20" xfId="1032"/>
    <cellStyle name="Accent4 21" xfId="1033"/>
    <cellStyle name="Accent4 22" xfId="1034"/>
    <cellStyle name="Accent4 23" xfId="1035"/>
    <cellStyle name="Accent4 24" xfId="1036"/>
    <cellStyle name="Accent4 25" xfId="1037"/>
    <cellStyle name="Accent4 26" xfId="1038"/>
    <cellStyle name="Accent4 27" xfId="1039"/>
    <cellStyle name="Accent4 28" xfId="1040"/>
    <cellStyle name="Accent4 29" xfId="1041"/>
    <cellStyle name="Accent4 3" xfId="1042"/>
    <cellStyle name="Accent4 3 2" xfId="1043"/>
    <cellStyle name="Accent4 3 3" xfId="1044"/>
    <cellStyle name="Accent4 30" xfId="1045"/>
    <cellStyle name="Accent4 31" xfId="1046"/>
    <cellStyle name="Accent4 32" xfId="1047"/>
    <cellStyle name="Accent4 33" xfId="1048"/>
    <cellStyle name="Accent4 4" xfId="1049"/>
    <cellStyle name="Accent4 4 2" xfId="1050"/>
    <cellStyle name="Accent4 4 3" xfId="1051"/>
    <cellStyle name="Accent4 5" xfId="1052"/>
    <cellStyle name="Accent4 5 2" xfId="1053"/>
    <cellStyle name="Accent4 5 3" xfId="1054"/>
    <cellStyle name="Accent4 6" xfId="1055"/>
    <cellStyle name="Accent4 6 2" xfId="1056"/>
    <cellStyle name="Accent4 6 3" xfId="1057"/>
    <cellStyle name="Accent4 7" xfId="1058"/>
    <cellStyle name="Accent4 7 2" xfId="1059"/>
    <cellStyle name="Accent4 7 3" xfId="1060"/>
    <cellStyle name="Accent4 8" xfId="1061"/>
    <cellStyle name="Accent4 8 2" xfId="1062"/>
    <cellStyle name="Accent4 8 3" xfId="1063"/>
    <cellStyle name="Accent4 9" xfId="1064"/>
    <cellStyle name="Accent4 9 2" xfId="1065"/>
    <cellStyle name="Accent4 9 3" xfId="1066"/>
    <cellStyle name="Accent5 10" xfId="1067"/>
    <cellStyle name="Accent5 11" xfId="1068"/>
    <cellStyle name="Accent5 12" xfId="1069"/>
    <cellStyle name="Accent5 13" xfId="1070"/>
    <cellStyle name="Accent5 14" xfId="1071"/>
    <cellStyle name="Accent5 15" xfId="1072"/>
    <cellStyle name="Accent5 16" xfId="1073"/>
    <cellStyle name="Accent5 17" xfId="1074"/>
    <cellStyle name="Accent5 18" xfId="1075"/>
    <cellStyle name="Accent5 19" xfId="1076"/>
    <cellStyle name="Accent5 2" xfId="1077"/>
    <cellStyle name="Accent5 2 2" xfId="1078"/>
    <cellStyle name="Accent5 2 3" xfId="1079"/>
    <cellStyle name="Accent5 20" xfId="1080"/>
    <cellStyle name="Accent5 21" xfId="1081"/>
    <cellStyle name="Accent5 22" xfId="1082"/>
    <cellStyle name="Accent5 23" xfId="1083"/>
    <cellStyle name="Accent5 24" xfId="1084"/>
    <cellStyle name="Accent5 25" xfId="1085"/>
    <cellStyle name="Accent5 26" xfId="1086"/>
    <cellStyle name="Accent5 27" xfId="1087"/>
    <cellStyle name="Accent5 28" xfId="1088"/>
    <cellStyle name="Accent5 29" xfId="1089"/>
    <cellStyle name="Accent5 3" xfId="1090"/>
    <cellStyle name="Accent5 3 2" xfId="1091"/>
    <cellStyle name="Accent5 3 3" xfId="1092"/>
    <cellStyle name="Accent5 30" xfId="1093"/>
    <cellStyle name="Accent5 31" xfId="1094"/>
    <cellStyle name="Accent5 32" xfId="1095"/>
    <cellStyle name="Accent5 33" xfId="1096"/>
    <cellStyle name="Accent5 4" xfId="1097"/>
    <cellStyle name="Accent5 4 2" xfId="1098"/>
    <cellStyle name="Accent5 4 3" xfId="1099"/>
    <cellStyle name="Accent5 5" xfId="1100"/>
    <cellStyle name="Accent5 5 2" xfId="1101"/>
    <cellStyle name="Accent5 5 3" xfId="1102"/>
    <cellStyle name="Accent5 6" xfId="1103"/>
    <cellStyle name="Accent5 6 2" xfId="1104"/>
    <cellStyle name="Accent5 6 3" xfId="1105"/>
    <cellStyle name="Accent5 7" xfId="1106"/>
    <cellStyle name="Accent5 7 2" xfId="1107"/>
    <cellStyle name="Accent5 7 3" xfId="1108"/>
    <cellStyle name="Accent5 8" xfId="1109"/>
    <cellStyle name="Accent5 8 2" xfId="1110"/>
    <cellStyle name="Accent5 8 3" xfId="1111"/>
    <cellStyle name="Accent5 9" xfId="1112"/>
    <cellStyle name="Accent5 9 2" xfId="1113"/>
    <cellStyle name="Accent5 9 3" xfId="1114"/>
    <cellStyle name="Accent6 10" xfId="1115"/>
    <cellStyle name="Accent6 11" xfId="1116"/>
    <cellStyle name="Accent6 12" xfId="1117"/>
    <cellStyle name="Accent6 13" xfId="1118"/>
    <cellStyle name="Accent6 14" xfId="1119"/>
    <cellStyle name="Accent6 15" xfId="1120"/>
    <cellStyle name="Accent6 16" xfId="1121"/>
    <cellStyle name="Accent6 17" xfId="1122"/>
    <cellStyle name="Accent6 18" xfId="1123"/>
    <cellStyle name="Accent6 19" xfId="1124"/>
    <cellStyle name="Accent6 2" xfId="1125"/>
    <cellStyle name="Accent6 2 2" xfId="1126"/>
    <cellStyle name="Accent6 2 3" xfId="1127"/>
    <cellStyle name="Accent6 20" xfId="1128"/>
    <cellStyle name="Accent6 21" xfId="1129"/>
    <cellStyle name="Accent6 22" xfId="1130"/>
    <cellStyle name="Accent6 23" xfId="1131"/>
    <cellStyle name="Accent6 24" xfId="1132"/>
    <cellStyle name="Accent6 25" xfId="1133"/>
    <cellStyle name="Accent6 26" xfId="1134"/>
    <cellStyle name="Accent6 27" xfId="1135"/>
    <cellStyle name="Accent6 28" xfId="1136"/>
    <cellStyle name="Accent6 29" xfId="1137"/>
    <cellStyle name="Accent6 3" xfId="1138"/>
    <cellStyle name="Accent6 3 2" xfId="1139"/>
    <cellStyle name="Accent6 3 3" xfId="1140"/>
    <cellStyle name="Accent6 30" xfId="1141"/>
    <cellStyle name="Accent6 31" xfId="1142"/>
    <cellStyle name="Accent6 32" xfId="1143"/>
    <cellStyle name="Accent6 33" xfId="1144"/>
    <cellStyle name="Accent6 4" xfId="1145"/>
    <cellStyle name="Accent6 4 2" xfId="1146"/>
    <cellStyle name="Accent6 4 3" xfId="1147"/>
    <cellStyle name="Accent6 5" xfId="1148"/>
    <cellStyle name="Accent6 5 2" xfId="1149"/>
    <cellStyle name="Accent6 5 3" xfId="1150"/>
    <cellStyle name="Accent6 6" xfId="1151"/>
    <cellStyle name="Accent6 6 2" xfId="1152"/>
    <cellStyle name="Accent6 6 3" xfId="1153"/>
    <cellStyle name="Accent6 7" xfId="1154"/>
    <cellStyle name="Accent6 7 2" xfId="1155"/>
    <cellStyle name="Accent6 7 3" xfId="1156"/>
    <cellStyle name="Accent6 8" xfId="1157"/>
    <cellStyle name="Accent6 8 2" xfId="1158"/>
    <cellStyle name="Accent6 8 3" xfId="1159"/>
    <cellStyle name="Accent6 9" xfId="1160"/>
    <cellStyle name="Accent6 9 2" xfId="1161"/>
    <cellStyle name="Accent6 9 3" xfId="1162"/>
    <cellStyle name="Bad 10" xfId="1163"/>
    <cellStyle name="Bad 11" xfId="1164"/>
    <cellStyle name="Bad 12" xfId="1165"/>
    <cellStyle name="Bad 13" xfId="1166"/>
    <cellStyle name="Bad 14" xfId="1167"/>
    <cellStyle name="Bad 15" xfId="1168"/>
    <cellStyle name="Bad 16" xfId="1169"/>
    <cellStyle name="Bad 17" xfId="1170"/>
    <cellStyle name="Bad 18" xfId="1171"/>
    <cellStyle name="Bad 19" xfId="1172"/>
    <cellStyle name="Bad 2" xfId="1173"/>
    <cellStyle name="Bad 2 2" xfId="1174"/>
    <cellStyle name="Bad 2 3" xfId="1175"/>
    <cellStyle name="Bad 20" xfId="1176"/>
    <cellStyle name="Bad 21" xfId="1177"/>
    <cellStyle name="Bad 22" xfId="1178"/>
    <cellStyle name="Bad 23" xfId="1179"/>
    <cellStyle name="Bad 24" xfId="1180"/>
    <cellStyle name="Bad 25" xfId="1181"/>
    <cellStyle name="Bad 26" xfId="1182"/>
    <cellStyle name="Bad 27" xfId="1183"/>
    <cellStyle name="Bad 28" xfId="1184"/>
    <cellStyle name="Bad 29" xfId="1185"/>
    <cellStyle name="Bad 3" xfId="1186"/>
    <cellStyle name="Bad 3 2" xfId="1187"/>
    <cellStyle name="Bad 3 3" xfId="1188"/>
    <cellStyle name="Bad 30" xfId="1189"/>
    <cellStyle name="Bad 31" xfId="1190"/>
    <cellStyle name="Bad 32" xfId="1191"/>
    <cellStyle name="Bad 33" xfId="1192"/>
    <cellStyle name="Bad 4" xfId="1193"/>
    <cellStyle name="Bad 4 2" xfId="1194"/>
    <cellStyle name="Bad 4 3" xfId="1195"/>
    <cellStyle name="Bad 5" xfId="1196"/>
    <cellStyle name="Bad 5 2" xfId="1197"/>
    <cellStyle name="Bad 5 3" xfId="1198"/>
    <cellStyle name="Bad 6" xfId="1199"/>
    <cellStyle name="Bad 6 2" xfId="1200"/>
    <cellStyle name="Bad 6 3" xfId="1201"/>
    <cellStyle name="Bad 7" xfId="1202"/>
    <cellStyle name="Bad 7 2" xfId="1203"/>
    <cellStyle name="Bad 7 3" xfId="1204"/>
    <cellStyle name="Bad 8" xfId="1205"/>
    <cellStyle name="Bad 8 2" xfId="1206"/>
    <cellStyle name="Bad 8 3" xfId="1207"/>
    <cellStyle name="Bad 9" xfId="1208"/>
    <cellStyle name="Bad 9 2" xfId="1209"/>
    <cellStyle name="Bad 9 3" xfId="1210"/>
    <cellStyle name="Body" xfId="1211"/>
    <cellStyle name="Calculation 10" xfId="1212"/>
    <cellStyle name="Calculation 11" xfId="1213"/>
    <cellStyle name="Calculation 12" xfId="1214"/>
    <cellStyle name="Calculation 13" xfId="1215"/>
    <cellStyle name="Calculation 14" xfId="1216"/>
    <cellStyle name="Calculation 15" xfId="1217"/>
    <cellStyle name="Calculation 16" xfId="1218"/>
    <cellStyle name="Calculation 17" xfId="1219"/>
    <cellStyle name="Calculation 18" xfId="1220"/>
    <cellStyle name="Calculation 19" xfId="1221"/>
    <cellStyle name="Calculation 2" xfId="1222"/>
    <cellStyle name="Calculation 2 2" xfId="1223"/>
    <cellStyle name="Calculation 2 3" xfId="1224"/>
    <cellStyle name="Calculation 20" xfId="1225"/>
    <cellStyle name="Calculation 21" xfId="1226"/>
    <cellStyle name="Calculation 22" xfId="1227"/>
    <cellStyle name="Calculation 23" xfId="1228"/>
    <cellStyle name="Calculation 24" xfId="1229"/>
    <cellStyle name="Calculation 25" xfId="1230"/>
    <cellStyle name="Calculation 26" xfId="1231"/>
    <cellStyle name="Calculation 27" xfId="1232"/>
    <cellStyle name="Calculation 28" xfId="1233"/>
    <cellStyle name="Calculation 29" xfId="1234"/>
    <cellStyle name="Calculation 3" xfId="1235"/>
    <cellStyle name="Calculation 3 2" xfId="1236"/>
    <cellStyle name="Calculation 3 3" xfId="1237"/>
    <cellStyle name="Calculation 30" xfId="1238"/>
    <cellStyle name="Calculation 31" xfId="1239"/>
    <cellStyle name="Calculation 32" xfId="1240"/>
    <cellStyle name="Calculation 33" xfId="1241"/>
    <cellStyle name="Calculation 4" xfId="1242"/>
    <cellStyle name="Calculation 4 2" xfId="1243"/>
    <cellStyle name="Calculation 4 3" xfId="1244"/>
    <cellStyle name="Calculation 5" xfId="1245"/>
    <cellStyle name="Calculation 5 2" xfId="1246"/>
    <cellStyle name="Calculation 5 3" xfId="1247"/>
    <cellStyle name="Calculation 6" xfId="1248"/>
    <cellStyle name="Calculation 6 2" xfId="1249"/>
    <cellStyle name="Calculation 6 3" xfId="1250"/>
    <cellStyle name="Calculation 7" xfId="1251"/>
    <cellStyle name="Calculation 7 2" xfId="1252"/>
    <cellStyle name="Calculation 7 3" xfId="1253"/>
    <cellStyle name="Calculation 8" xfId="1254"/>
    <cellStyle name="Calculation 8 2" xfId="1255"/>
    <cellStyle name="Calculation 8 3" xfId="1256"/>
    <cellStyle name="Calculation 9" xfId="1257"/>
    <cellStyle name="Calculation 9 2" xfId="1258"/>
    <cellStyle name="Calculation 9 3" xfId="1259"/>
    <cellStyle name="Check Cell 10" xfId="1260"/>
    <cellStyle name="Check Cell 11" xfId="1261"/>
    <cellStyle name="Check Cell 12" xfId="1262"/>
    <cellStyle name="Check Cell 13" xfId="1263"/>
    <cellStyle name="Check Cell 14" xfId="1264"/>
    <cellStyle name="Check Cell 15" xfId="1265"/>
    <cellStyle name="Check Cell 16" xfId="1266"/>
    <cellStyle name="Check Cell 17" xfId="1267"/>
    <cellStyle name="Check Cell 18" xfId="1268"/>
    <cellStyle name="Check Cell 19" xfId="1269"/>
    <cellStyle name="Check Cell 2" xfId="1270"/>
    <cellStyle name="Check Cell 2 2" xfId="1271"/>
    <cellStyle name="Check Cell 2 3" xfId="1272"/>
    <cellStyle name="Check Cell 20" xfId="1273"/>
    <cellStyle name="Check Cell 21" xfId="1274"/>
    <cellStyle name="Check Cell 22" xfId="1275"/>
    <cellStyle name="Check Cell 23" xfId="1276"/>
    <cellStyle name="Check Cell 24" xfId="1277"/>
    <cellStyle name="Check Cell 25" xfId="1278"/>
    <cellStyle name="Check Cell 26" xfId="1279"/>
    <cellStyle name="Check Cell 27" xfId="1280"/>
    <cellStyle name="Check Cell 28" xfId="1281"/>
    <cellStyle name="Check Cell 29" xfId="1282"/>
    <cellStyle name="Check Cell 3" xfId="1283"/>
    <cellStyle name="Check Cell 3 2" xfId="1284"/>
    <cellStyle name="Check Cell 3 3" xfId="1285"/>
    <cellStyle name="Check Cell 30" xfId="1286"/>
    <cellStyle name="Check Cell 31" xfId="1287"/>
    <cellStyle name="Check Cell 32" xfId="1288"/>
    <cellStyle name="Check Cell 33" xfId="1289"/>
    <cellStyle name="Check Cell 4" xfId="1290"/>
    <cellStyle name="Check Cell 4 2" xfId="1291"/>
    <cellStyle name="Check Cell 4 3" xfId="1292"/>
    <cellStyle name="Check Cell 5" xfId="1293"/>
    <cellStyle name="Check Cell 5 2" xfId="1294"/>
    <cellStyle name="Check Cell 5 3" xfId="1295"/>
    <cellStyle name="Check Cell 6" xfId="1296"/>
    <cellStyle name="Check Cell 6 2" xfId="1297"/>
    <cellStyle name="Check Cell 6 3" xfId="1298"/>
    <cellStyle name="Check Cell 7" xfId="1299"/>
    <cellStyle name="Check Cell 7 2" xfId="1300"/>
    <cellStyle name="Check Cell 7 3" xfId="1301"/>
    <cellStyle name="Check Cell 8" xfId="1302"/>
    <cellStyle name="Check Cell 8 2" xfId="1303"/>
    <cellStyle name="Check Cell 8 3" xfId="1304"/>
    <cellStyle name="Check Cell 9" xfId="1305"/>
    <cellStyle name="Check Cell 9 2" xfId="1306"/>
    <cellStyle name="Check Cell 9 3" xfId="1307"/>
    <cellStyle name="Comma" xfId="1" builtinId="3"/>
    <cellStyle name="Comma  - Style1" xfId="1308"/>
    <cellStyle name="Comma 10" xfId="1309"/>
    <cellStyle name="Comma 11" xfId="1310"/>
    <cellStyle name="Comma 11 2" xfId="1311"/>
    <cellStyle name="Comma 12" xfId="1312"/>
    <cellStyle name="Comma 13" xfId="1313"/>
    <cellStyle name="Comma 14" xfId="1314"/>
    <cellStyle name="Comma 14 2" xfId="1315"/>
    <cellStyle name="Comma 15" xfId="1316"/>
    <cellStyle name="Comma 2" xfId="1317"/>
    <cellStyle name="Comma 2 2" xfId="1318"/>
    <cellStyle name="Comma 2 3" xfId="1319"/>
    <cellStyle name="Comma 2 4" xfId="1320"/>
    <cellStyle name="Comma 3" xfId="1321"/>
    <cellStyle name="Comma 3 2" xfId="1322"/>
    <cellStyle name="Comma 4" xfId="1323"/>
    <cellStyle name="Comma 4 2" xfId="1324"/>
    <cellStyle name="Comma 4 2 2" xfId="1325"/>
    <cellStyle name="Comma 5" xfId="1326"/>
    <cellStyle name="Comma 5 2" xfId="1327"/>
    <cellStyle name="Comma 6" xfId="1328"/>
    <cellStyle name="Comma 6 2" xfId="1329"/>
    <cellStyle name="Comma 6 3" xfId="1330"/>
    <cellStyle name="Comma 6 4" xfId="1331"/>
    <cellStyle name="Comma 7" xfId="1332"/>
    <cellStyle name="Comma 7 2" xfId="1333"/>
    <cellStyle name="Comma 8" xfId="1334"/>
    <cellStyle name="Comma 8 2" xfId="1335"/>
    <cellStyle name="Comma 9" xfId="1336"/>
    <cellStyle name="Curren - Style2" xfId="1337"/>
    <cellStyle name="Custom - Style8" xfId="1338"/>
    <cellStyle name="Custom - Style8 10" xfId="1339"/>
    <cellStyle name="Custom - Style8 2" xfId="1340"/>
    <cellStyle name="Custom - Style8 3" xfId="1341"/>
    <cellStyle name="Custom - Style8 3 2" xfId="1342"/>
    <cellStyle name="Custom - Style8 3 3" xfId="1343"/>
    <cellStyle name="Custom - Style8 3 4" xfId="1344"/>
    <cellStyle name="Custom - Style8 3 5" xfId="1345"/>
    <cellStyle name="Custom - Style8 3 6" xfId="1346"/>
    <cellStyle name="Custom - Style8 3 7" xfId="1347"/>
    <cellStyle name="Custom - Style8 3 8" xfId="1348"/>
    <cellStyle name="Custom - Style8 3 9" xfId="1349"/>
    <cellStyle name="Custom - Style8 4" xfId="1350"/>
    <cellStyle name="Custom - Style8 4 2" xfId="1351"/>
    <cellStyle name="Custom - Style8 4 3" xfId="1352"/>
    <cellStyle name="Custom - Style8 4 4" xfId="1353"/>
    <cellStyle name="Custom - Style8 4 5" xfId="1354"/>
    <cellStyle name="Custom - Style8 4 6" xfId="1355"/>
    <cellStyle name="Custom - Style8 4 7" xfId="1356"/>
    <cellStyle name="Custom - Style8 4 8" xfId="1357"/>
    <cellStyle name="Custom - Style8 4 9" xfId="1358"/>
    <cellStyle name="Custom - Style8 5" xfId="1359"/>
    <cellStyle name="Custom - Style8 5 2" xfId="1360"/>
    <cellStyle name="Custom - Style8 5 3" xfId="1361"/>
    <cellStyle name="Custom - Style8 5 4" xfId="1362"/>
    <cellStyle name="Custom - Style8 5 5" xfId="1363"/>
    <cellStyle name="Custom - Style8 5 6" xfId="1364"/>
    <cellStyle name="Custom - Style8 5 7" xfId="1365"/>
    <cellStyle name="Custom - Style8 5 8" xfId="1366"/>
    <cellStyle name="Custom - Style8 5 9" xfId="1367"/>
    <cellStyle name="Custom - Style8 6" xfId="1368"/>
    <cellStyle name="Custom - Style8 7" xfId="1369"/>
    <cellStyle name="Custom - Style8 8" xfId="1370"/>
    <cellStyle name="Custom - Style8 9" xfId="1371"/>
    <cellStyle name="Custom - Style8_6 div annex I" xfId="1372"/>
    <cellStyle name="Data   - Style2" xfId="1373"/>
    <cellStyle name="date" xfId="1374"/>
    <cellStyle name="Explanatory Text 10" xfId="1375"/>
    <cellStyle name="Explanatory Text 11" xfId="1376"/>
    <cellStyle name="Explanatory Text 12" xfId="1377"/>
    <cellStyle name="Explanatory Text 13" xfId="1378"/>
    <cellStyle name="Explanatory Text 14" xfId="1379"/>
    <cellStyle name="Explanatory Text 15" xfId="1380"/>
    <cellStyle name="Explanatory Text 16" xfId="1381"/>
    <cellStyle name="Explanatory Text 17" xfId="1382"/>
    <cellStyle name="Explanatory Text 18" xfId="1383"/>
    <cellStyle name="Explanatory Text 19" xfId="1384"/>
    <cellStyle name="Explanatory Text 2" xfId="1385"/>
    <cellStyle name="Explanatory Text 2 2" xfId="1386"/>
    <cellStyle name="Explanatory Text 2 3" xfId="1387"/>
    <cellStyle name="Explanatory Text 20" xfId="1388"/>
    <cellStyle name="Explanatory Text 21" xfId="1389"/>
    <cellStyle name="Explanatory Text 22" xfId="1390"/>
    <cellStyle name="Explanatory Text 23" xfId="1391"/>
    <cellStyle name="Explanatory Text 24" xfId="1392"/>
    <cellStyle name="Explanatory Text 25" xfId="1393"/>
    <cellStyle name="Explanatory Text 26" xfId="1394"/>
    <cellStyle name="Explanatory Text 27" xfId="1395"/>
    <cellStyle name="Explanatory Text 28" xfId="1396"/>
    <cellStyle name="Explanatory Text 29" xfId="1397"/>
    <cellStyle name="Explanatory Text 3" xfId="1398"/>
    <cellStyle name="Explanatory Text 3 2" xfId="1399"/>
    <cellStyle name="Explanatory Text 3 3" xfId="1400"/>
    <cellStyle name="Explanatory Text 30" xfId="1401"/>
    <cellStyle name="Explanatory Text 31" xfId="1402"/>
    <cellStyle name="Explanatory Text 32" xfId="1403"/>
    <cellStyle name="Explanatory Text 33" xfId="1404"/>
    <cellStyle name="Explanatory Text 4" xfId="1405"/>
    <cellStyle name="Explanatory Text 4 2" xfId="1406"/>
    <cellStyle name="Explanatory Text 4 3" xfId="1407"/>
    <cellStyle name="Explanatory Text 5" xfId="1408"/>
    <cellStyle name="Explanatory Text 5 2" xfId="1409"/>
    <cellStyle name="Explanatory Text 5 3" xfId="1410"/>
    <cellStyle name="Explanatory Text 6" xfId="1411"/>
    <cellStyle name="Explanatory Text 6 2" xfId="1412"/>
    <cellStyle name="Explanatory Text 6 3" xfId="1413"/>
    <cellStyle name="Explanatory Text 7" xfId="1414"/>
    <cellStyle name="Explanatory Text 7 2" xfId="1415"/>
    <cellStyle name="Explanatory Text 7 3" xfId="1416"/>
    <cellStyle name="Explanatory Text 8" xfId="1417"/>
    <cellStyle name="Explanatory Text 8 2" xfId="1418"/>
    <cellStyle name="Explanatory Text 8 3" xfId="1419"/>
    <cellStyle name="Explanatory Text 9" xfId="1420"/>
    <cellStyle name="Explanatory Text 9 2" xfId="1421"/>
    <cellStyle name="Explanatory Text 9 3" xfId="1422"/>
    <cellStyle name="Followed Hyperlink" xfId="2309" builtinId="9" hidden="1"/>
    <cellStyle name="Followed Hyperlink" xfId="2310" builtinId="9" hidden="1"/>
    <cellStyle name="fy" xfId="1423"/>
    <cellStyle name="Good 10" xfId="1424"/>
    <cellStyle name="Good 11" xfId="1425"/>
    <cellStyle name="Good 12" xfId="1426"/>
    <cellStyle name="Good 13" xfId="1427"/>
    <cellStyle name="Good 14" xfId="1428"/>
    <cellStyle name="Good 15" xfId="1429"/>
    <cellStyle name="Good 16" xfId="1430"/>
    <cellStyle name="Good 17" xfId="1431"/>
    <cellStyle name="Good 18" xfId="1432"/>
    <cellStyle name="Good 19" xfId="1433"/>
    <cellStyle name="Good 2" xfId="1434"/>
    <cellStyle name="Good 2 2" xfId="1435"/>
    <cellStyle name="Good 2 3" xfId="1436"/>
    <cellStyle name="Good 20" xfId="1437"/>
    <cellStyle name="Good 21" xfId="1438"/>
    <cellStyle name="Good 22" xfId="1439"/>
    <cellStyle name="Good 23" xfId="1440"/>
    <cellStyle name="Good 24" xfId="1441"/>
    <cellStyle name="Good 25" xfId="1442"/>
    <cellStyle name="Good 26" xfId="1443"/>
    <cellStyle name="Good 27" xfId="1444"/>
    <cellStyle name="Good 28" xfId="1445"/>
    <cellStyle name="Good 29" xfId="1446"/>
    <cellStyle name="Good 3" xfId="1447"/>
    <cellStyle name="Good 3 2" xfId="1448"/>
    <cellStyle name="Good 3 3" xfId="1449"/>
    <cellStyle name="Good 30" xfId="1450"/>
    <cellStyle name="Good 31" xfId="1451"/>
    <cellStyle name="Good 32" xfId="1452"/>
    <cellStyle name="Good 33" xfId="1453"/>
    <cellStyle name="Good 4" xfId="1454"/>
    <cellStyle name="Good 4 2" xfId="1455"/>
    <cellStyle name="Good 4 3" xfId="1456"/>
    <cellStyle name="Good 5" xfId="1457"/>
    <cellStyle name="Good 5 2" xfId="1458"/>
    <cellStyle name="Good 5 3" xfId="1459"/>
    <cellStyle name="Good 6" xfId="1460"/>
    <cellStyle name="Good 6 2" xfId="1461"/>
    <cellStyle name="Good 6 3" xfId="1462"/>
    <cellStyle name="Good 7" xfId="1463"/>
    <cellStyle name="Good 7 2" xfId="1464"/>
    <cellStyle name="Good 7 3" xfId="1465"/>
    <cellStyle name="Good 8" xfId="1466"/>
    <cellStyle name="Good 8 2" xfId="1467"/>
    <cellStyle name="Good 8 3" xfId="1468"/>
    <cellStyle name="Good 9" xfId="1469"/>
    <cellStyle name="Good 9 2" xfId="1470"/>
    <cellStyle name="Good 9 3" xfId="1471"/>
    <cellStyle name="Grey" xfId="1472"/>
    <cellStyle name="Header1" xfId="1473"/>
    <cellStyle name="Header2" xfId="1474"/>
    <cellStyle name="Heading 1 10" xfId="1475"/>
    <cellStyle name="Heading 1 11" xfId="1476"/>
    <cellStyle name="Heading 1 12" xfId="1477"/>
    <cellStyle name="Heading 1 13" xfId="1478"/>
    <cellStyle name="Heading 1 14" xfId="1479"/>
    <cellStyle name="Heading 1 15" xfId="1480"/>
    <cellStyle name="Heading 1 16" xfId="1481"/>
    <cellStyle name="Heading 1 17" xfId="1482"/>
    <cellStyle name="Heading 1 18" xfId="1483"/>
    <cellStyle name="Heading 1 19" xfId="1484"/>
    <cellStyle name="Heading 1 2" xfId="1485"/>
    <cellStyle name="Heading 1 2 2" xfId="1486"/>
    <cellStyle name="Heading 1 2 3" xfId="1487"/>
    <cellStyle name="Heading 1 20" xfId="1488"/>
    <cellStyle name="Heading 1 21" xfId="1489"/>
    <cellStyle name="Heading 1 22" xfId="1490"/>
    <cellStyle name="Heading 1 23" xfId="1491"/>
    <cellStyle name="Heading 1 24" xfId="1492"/>
    <cellStyle name="Heading 1 25" xfId="1493"/>
    <cellStyle name="Heading 1 26" xfId="1494"/>
    <cellStyle name="Heading 1 27" xfId="1495"/>
    <cellStyle name="Heading 1 28" xfId="1496"/>
    <cellStyle name="Heading 1 29" xfId="1497"/>
    <cellStyle name="Heading 1 3" xfId="1498"/>
    <cellStyle name="Heading 1 3 2" xfId="1499"/>
    <cellStyle name="Heading 1 3 3" xfId="1500"/>
    <cellStyle name="Heading 1 30" xfId="1501"/>
    <cellStyle name="Heading 1 31" xfId="1502"/>
    <cellStyle name="Heading 1 32" xfId="1503"/>
    <cellStyle name="Heading 1 33" xfId="1504"/>
    <cellStyle name="Heading 1 4" xfId="1505"/>
    <cellStyle name="Heading 1 4 2" xfId="1506"/>
    <cellStyle name="Heading 1 4 3" xfId="1507"/>
    <cellStyle name="Heading 1 5" xfId="1508"/>
    <cellStyle name="Heading 1 5 2" xfId="1509"/>
    <cellStyle name="Heading 1 5 3" xfId="1510"/>
    <cellStyle name="Heading 1 6" xfId="1511"/>
    <cellStyle name="Heading 1 6 2" xfId="1512"/>
    <cellStyle name="Heading 1 6 3" xfId="1513"/>
    <cellStyle name="Heading 1 7" xfId="1514"/>
    <cellStyle name="Heading 1 7 2" xfId="1515"/>
    <cellStyle name="Heading 1 7 3" xfId="1516"/>
    <cellStyle name="Heading 1 8" xfId="1517"/>
    <cellStyle name="Heading 1 8 2" xfId="1518"/>
    <cellStyle name="Heading 1 8 3" xfId="1519"/>
    <cellStyle name="Heading 1 9" xfId="1520"/>
    <cellStyle name="Heading 1 9 2" xfId="1521"/>
    <cellStyle name="Heading 1 9 3" xfId="1522"/>
    <cellStyle name="Heading 2 10" xfId="1523"/>
    <cellStyle name="Heading 2 11" xfId="1524"/>
    <cellStyle name="Heading 2 12" xfId="1525"/>
    <cellStyle name="Heading 2 13" xfId="1526"/>
    <cellStyle name="Heading 2 14" xfId="1527"/>
    <cellStyle name="Heading 2 15" xfId="1528"/>
    <cellStyle name="Heading 2 16" xfId="1529"/>
    <cellStyle name="Heading 2 17" xfId="1530"/>
    <cellStyle name="Heading 2 18" xfId="1531"/>
    <cellStyle name="Heading 2 19" xfId="1532"/>
    <cellStyle name="Heading 2 2" xfId="1533"/>
    <cellStyle name="Heading 2 2 2" xfId="1534"/>
    <cellStyle name="Heading 2 2 3" xfId="1535"/>
    <cellStyle name="Heading 2 20" xfId="1536"/>
    <cellStyle name="Heading 2 21" xfId="1537"/>
    <cellStyle name="Heading 2 22" xfId="1538"/>
    <cellStyle name="Heading 2 23" xfId="1539"/>
    <cellStyle name="Heading 2 24" xfId="1540"/>
    <cellStyle name="Heading 2 25" xfId="1541"/>
    <cellStyle name="Heading 2 26" xfId="1542"/>
    <cellStyle name="Heading 2 27" xfId="1543"/>
    <cellStyle name="Heading 2 28" xfId="1544"/>
    <cellStyle name="Heading 2 29" xfId="1545"/>
    <cellStyle name="Heading 2 3" xfId="1546"/>
    <cellStyle name="Heading 2 3 2" xfId="1547"/>
    <cellStyle name="Heading 2 3 3" xfId="1548"/>
    <cellStyle name="Heading 2 30" xfId="1549"/>
    <cellStyle name="Heading 2 31" xfId="1550"/>
    <cellStyle name="Heading 2 32" xfId="1551"/>
    <cellStyle name="Heading 2 33" xfId="1552"/>
    <cellStyle name="Heading 2 4" xfId="1553"/>
    <cellStyle name="Heading 2 4 2" xfId="1554"/>
    <cellStyle name="Heading 2 4 3" xfId="1555"/>
    <cellStyle name="Heading 2 5" xfId="1556"/>
    <cellStyle name="Heading 2 5 2" xfId="1557"/>
    <cellStyle name="Heading 2 5 3" xfId="1558"/>
    <cellStyle name="Heading 2 6" xfId="1559"/>
    <cellStyle name="Heading 2 6 2" xfId="1560"/>
    <cellStyle name="Heading 2 6 3" xfId="1561"/>
    <cellStyle name="Heading 2 7" xfId="1562"/>
    <cellStyle name="Heading 2 7 2" xfId="1563"/>
    <cellStyle name="Heading 2 7 3" xfId="1564"/>
    <cellStyle name="Heading 2 8" xfId="1565"/>
    <cellStyle name="Heading 2 8 2" xfId="1566"/>
    <cellStyle name="Heading 2 8 3" xfId="1567"/>
    <cellStyle name="Heading 2 9" xfId="1568"/>
    <cellStyle name="Heading 2 9 2" xfId="1569"/>
    <cellStyle name="Heading 2 9 3" xfId="1570"/>
    <cellStyle name="Heading 3 10" xfId="1571"/>
    <cellStyle name="Heading 3 11" xfId="1572"/>
    <cellStyle name="Heading 3 12" xfId="1573"/>
    <cellStyle name="Heading 3 13" xfId="1574"/>
    <cellStyle name="Heading 3 14" xfId="1575"/>
    <cellStyle name="Heading 3 15" xfId="1576"/>
    <cellStyle name="Heading 3 16" xfId="1577"/>
    <cellStyle name="Heading 3 17" xfId="1578"/>
    <cellStyle name="Heading 3 18" xfId="1579"/>
    <cellStyle name="Heading 3 19" xfId="1580"/>
    <cellStyle name="Heading 3 2" xfId="1581"/>
    <cellStyle name="Heading 3 2 2" xfId="1582"/>
    <cellStyle name="Heading 3 2 3" xfId="1583"/>
    <cellStyle name="Heading 3 20" xfId="1584"/>
    <cellStyle name="Heading 3 21" xfId="1585"/>
    <cellStyle name="Heading 3 22" xfId="1586"/>
    <cellStyle name="Heading 3 23" xfId="1587"/>
    <cellStyle name="Heading 3 24" xfId="1588"/>
    <cellStyle name="Heading 3 25" xfId="1589"/>
    <cellStyle name="Heading 3 26" xfId="1590"/>
    <cellStyle name="Heading 3 27" xfId="1591"/>
    <cellStyle name="Heading 3 28" xfId="1592"/>
    <cellStyle name="Heading 3 29" xfId="1593"/>
    <cellStyle name="Heading 3 3" xfId="1594"/>
    <cellStyle name="Heading 3 3 2" xfId="1595"/>
    <cellStyle name="Heading 3 3 3" xfId="1596"/>
    <cellStyle name="Heading 3 30" xfId="1597"/>
    <cellStyle name="Heading 3 31" xfId="1598"/>
    <cellStyle name="Heading 3 32" xfId="1599"/>
    <cellStyle name="Heading 3 33" xfId="1600"/>
    <cellStyle name="Heading 3 4" xfId="1601"/>
    <cellStyle name="Heading 3 4 2" xfId="1602"/>
    <cellStyle name="Heading 3 4 3" xfId="1603"/>
    <cellStyle name="Heading 3 5" xfId="1604"/>
    <cellStyle name="Heading 3 5 2" xfId="1605"/>
    <cellStyle name="Heading 3 5 3" xfId="1606"/>
    <cellStyle name="Heading 3 6" xfId="1607"/>
    <cellStyle name="Heading 3 6 2" xfId="1608"/>
    <cellStyle name="Heading 3 6 3" xfId="1609"/>
    <cellStyle name="Heading 3 7" xfId="1610"/>
    <cellStyle name="Heading 3 7 2" xfId="1611"/>
    <cellStyle name="Heading 3 7 3" xfId="1612"/>
    <cellStyle name="Heading 3 8" xfId="1613"/>
    <cellStyle name="Heading 3 8 2" xfId="1614"/>
    <cellStyle name="Heading 3 8 3" xfId="1615"/>
    <cellStyle name="Heading 3 9" xfId="1616"/>
    <cellStyle name="Heading 3 9 2" xfId="1617"/>
    <cellStyle name="Heading 3 9 3" xfId="1618"/>
    <cellStyle name="Heading 4 10" xfId="1619"/>
    <cellStyle name="Heading 4 11" xfId="1620"/>
    <cellStyle name="Heading 4 12" xfId="1621"/>
    <cellStyle name="Heading 4 13" xfId="1622"/>
    <cellStyle name="Heading 4 14" xfId="1623"/>
    <cellStyle name="Heading 4 15" xfId="1624"/>
    <cellStyle name="Heading 4 16" xfId="1625"/>
    <cellStyle name="Heading 4 17" xfId="1626"/>
    <cellStyle name="Heading 4 18" xfId="1627"/>
    <cellStyle name="Heading 4 19" xfId="1628"/>
    <cellStyle name="Heading 4 2" xfId="1629"/>
    <cellStyle name="Heading 4 2 2" xfId="1630"/>
    <cellStyle name="Heading 4 2 3" xfId="1631"/>
    <cellStyle name="Heading 4 20" xfId="1632"/>
    <cellStyle name="Heading 4 21" xfId="1633"/>
    <cellStyle name="Heading 4 22" xfId="1634"/>
    <cellStyle name="Heading 4 23" xfId="1635"/>
    <cellStyle name="Heading 4 24" xfId="1636"/>
    <cellStyle name="Heading 4 25" xfId="1637"/>
    <cellStyle name="Heading 4 26" xfId="1638"/>
    <cellStyle name="Heading 4 27" xfId="1639"/>
    <cellStyle name="Heading 4 28" xfId="1640"/>
    <cellStyle name="Heading 4 29" xfId="1641"/>
    <cellStyle name="Heading 4 3" xfId="1642"/>
    <cellStyle name="Heading 4 3 2" xfId="1643"/>
    <cellStyle name="Heading 4 3 3" xfId="1644"/>
    <cellStyle name="Heading 4 30" xfId="1645"/>
    <cellStyle name="Heading 4 31" xfId="1646"/>
    <cellStyle name="Heading 4 32" xfId="1647"/>
    <cellStyle name="Heading 4 33" xfId="1648"/>
    <cellStyle name="Heading 4 4" xfId="1649"/>
    <cellStyle name="Heading 4 4 2" xfId="1650"/>
    <cellStyle name="Heading 4 4 3" xfId="1651"/>
    <cellStyle name="Heading 4 5" xfId="1652"/>
    <cellStyle name="Heading 4 5 2" xfId="1653"/>
    <cellStyle name="Heading 4 5 3" xfId="1654"/>
    <cellStyle name="Heading 4 6" xfId="1655"/>
    <cellStyle name="Heading 4 6 2" xfId="1656"/>
    <cellStyle name="Heading 4 6 3" xfId="1657"/>
    <cellStyle name="Heading 4 7" xfId="1658"/>
    <cellStyle name="Heading 4 7 2" xfId="1659"/>
    <cellStyle name="Heading 4 7 3" xfId="1660"/>
    <cellStyle name="Heading 4 8" xfId="1661"/>
    <cellStyle name="Heading 4 8 2" xfId="1662"/>
    <cellStyle name="Heading 4 8 3" xfId="1663"/>
    <cellStyle name="Heading 4 9" xfId="1664"/>
    <cellStyle name="Heading 4 9 2" xfId="1665"/>
    <cellStyle name="Heading 4 9 3" xfId="1666"/>
    <cellStyle name="Hyperlink" xfId="2311" builtinId="8"/>
    <cellStyle name="Input [yellow]" xfId="1667"/>
    <cellStyle name="Input 10" xfId="1668"/>
    <cellStyle name="Input 11" xfId="1669"/>
    <cellStyle name="Input 12" xfId="1670"/>
    <cellStyle name="Input 13" xfId="1671"/>
    <cellStyle name="Input 14" xfId="1672"/>
    <cellStyle name="Input 15" xfId="1673"/>
    <cellStyle name="Input 16" xfId="1674"/>
    <cellStyle name="Input 17" xfId="1675"/>
    <cellStyle name="Input 18" xfId="1676"/>
    <cellStyle name="Input 19" xfId="1677"/>
    <cellStyle name="Input 2" xfId="1678"/>
    <cellStyle name="Input 2 2" xfId="1679"/>
    <cellStyle name="Input 2 3" xfId="1680"/>
    <cellStyle name="Input 20" xfId="1681"/>
    <cellStyle name="Input 21" xfId="1682"/>
    <cellStyle name="Input 22" xfId="1683"/>
    <cellStyle name="Input 23" xfId="1684"/>
    <cellStyle name="Input 24" xfId="1685"/>
    <cellStyle name="Input 25" xfId="1686"/>
    <cellStyle name="Input 26" xfId="1687"/>
    <cellStyle name="Input 27" xfId="1688"/>
    <cellStyle name="Input 28" xfId="1689"/>
    <cellStyle name="Input 29" xfId="1690"/>
    <cellStyle name="Input 3" xfId="1691"/>
    <cellStyle name="Input 3 2" xfId="1692"/>
    <cellStyle name="Input 3 3" xfId="1693"/>
    <cellStyle name="Input 30" xfId="1694"/>
    <cellStyle name="Input 31" xfId="1695"/>
    <cellStyle name="Input 32" xfId="1696"/>
    <cellStyle name="Input 33" xfId="1697"/>
    <cellStyle name="Input 4" xfId="1698"/>
    <cellStyle name="Input 4 2" xfId="1699"/>
    <cellStyle name="Input 4 3" xfId="1700"/>
    <cellStyle name="Input 5" xfId="1701"/>
    <cellStyle name="Input 5 2" xfId="1702"/>
    <cellStyle name="Input 5 3" xfId="1703"/>
    <cellStyle name="Input 6" xfId="1704"/>
    <cellStyle name="Input 6 2" xfId="1705"/>
    <cellStyle name="Input 6 3" xfId="1706"/>
    <cellStyle name="Input 7" xfId="1707"/>
    <cellStyle name="Input 7 2" xfId="1708"/>
    <cellStyle name="Input 7 3" xfId="1709"/>
    <cellStyle name="Input 8" xfId="1710"/>
    <cellStyle name="Input 8 2" xfId="1711"/>
    <cellStyle name="Input 8 3" xfId="1712"/>
    <cellStyle name="Input 9" xfId="1713"/>
    <cellStyle name="Input 9 2" xfId="1714"/>
    <cellStyle name="Input 9 3" xfId="1715"/>
    <cellStyle name="Labels - Style3" xfId="1716"/>
    <cellStyle name="Linked Cell 10" xfId="1717"/>
    <cellStyle name="Linked Cell 11" xfId="1718"/>
    <cellStyle name="Linked Cell 12" xfId="1719"/>
    <cellStyle name="Linked Cell 13" xfId="1720"/>
    <cellStyle name="Linked Cell 14" xfId="1721"/>
    <cellStyle name="Linked Cell 15" xfId="1722"/>
    <cellStyle name="Linked Cell 16" xfId="1723"/>
    <cellStyle name="Linked Cell 17" xfId="1724"/>
    <cellStyle name="Linked Cell 18" xfId="1725"/>
    <cellStyle name="Linked Cell 19" xfId="1726"/>
    <cellStyle name="Linked Cell 2" xfId="1727"/>
    <cellStyle name="Linked Cell 2 2" xfId="1728"/>
    <cellStyle name="Linked Cell 2 3" xfId="1729"/>
    <cellStyle name="Linked Cell 20" xfId="1730"/>
    <cellStyle name="Linked Cell 21" xfId="1731"/>
    <cellStyle name="Linked Cell 22" xfId="1732"/>
    <cellStyle name="Linked Cell 23" xfId="1733"/>
    <cellStyle name="Linked Cell 24" xfId="1734"/>
    <cellStyle name="Linked Cell 25" xfId="1735"/>
    <cellStyle name="Linked Cell 26" xfId="1736"/>
    <cellStyle name="Linked Cell 27" xfId="1737"/>
    <cellStyle name="Linked Cell 28" xfId="1738"/>
    <cellStyle name="Linked Cell 29" xfId="1739"/>
    <cellStyle name="Linked Cell 3" xfId="1740"/>
    <cellStyle name="Linked Cell 3 2" xfId="1741"/>
    <cellStyle name="Linked Cell 3 3" xfId="1742"/>
    <cellStyle name="Linked Cell 30" xfId="1743"/>
    <cellStyle name="Linked Cell 31" xfId="1744"/>
    <cellStyle name="Linked Cell 32" xfId="1745"/>
    <cellStyle name="Linked Cell 33" xfId="1746"/>
    <cellStyle name="Linked Cell 4" xfId="1747"/>
    <cellStyle name="Linked Cell 4 2" xfId="1748"/>
    <cellStyle name="Linked Cell 4 3" xfId="1749"/>
    <cellStyle name="Linked Cell 5" xfId="1750"/>
    <cellStyle name="Linked Cell 5 2" xfId="1751"/>
    <cellStyle name="Linked Cell 5 3" xfId="1752"/>
    <cellStyle name="Linked Cell 6" xfId="1753"/>
    <cellStyle name="Linked Cell 6 2" xfId="1754"/>
    <cellStyle name="Linked Cell 6 3" xfId="1755"/>
    <cellStyle name="Linked Cell 7" xfId="1756"/>
    <cellStyle name="Linked Cell 7 2" xfId="1757"/>
    <cellStyle name="Linked Cell 7 3" xfId="1758"/>
    <cellStyle name="Linked Cell 8" xfId="1759"/>
    <cellStyle name="Linked Cell 8 2" xfId="1760"/>
    <cellStyle name="Linked Cell 8 3" xfId="1761"/>
    <cellStyle name="Linked Cell 9" xfId="1762"/>
    <cellStyle name="Linked Cell 9 2" xfId="1763"/>
    <cellStyle name="Linked Cell 9 3" xfId="1764"/>
    <cellStyle name="Neutral 10" xfId="1765"/>
    <cellStyle name="Neutral 11" xfId="1766"/>
    <cellStyle name="Neutral 12" xfId="1767"/>
    <cellStyle name="Neutral 13" xfId="1768"/>
    <cellStyle name="Neutral 14" xfId="1769"/>
    <cellStyle name="Neutral 15" xfId="1770"/>
    <cellStyle name="Neutral 16" xfId="1771"/>
    <cellStyle name="Neutral 17" xfId="1772"/>
    <cellStyle name="Neutral 18" xfId="1773"/>
    <cellStyle name="Neutral 19" xfId="1774"/>
    <cellStyle name="Neutral 2" xfId="1775"/>
    <cellStyle name="Neutral 2 2" xfId="1776"/>
    <cellStyle name="Neutral 2 3" xfId="1777"/>
    <cellStyle name="Neutral 20" xfId="1778"/>
    <cellStyle name="Neutral 21" xfId="1779"/>
    <cellStyle name="Neutral 22" xfId="1780"/>
    <cellStyle name="Neutral 23" xfId="1781"/>
    <cellStyle name="Neutral 24" xfId="1782"/>
    <cellStyle name="Neutral 25" xfId="1783"/>
    <cellStyle name="Neutral 26" xfId="1784"/>
    <cellStyle name="Neutral 27" xfId="1785"/>
    <cellStyle name="Neutral 28" xfId="1786"/>
    <cellStyle name="Neutral 29" xfId="1787"/>
    <cellStyle name="Neutral 3" xfId="1788"/>
    <cellStyle name="Neutral 3 2" xfId="1789"/>
    <cellStyle name="Neutral 3 3" xfId="1790"/>
    <cellStyle name="Neutral 30" xfId="1791"/>
    <cellStyle name="Neutral 31" xfId="1792"/>
    <cellStyle name="Neutral 32" xfId="1793"/>
    <cellStyle name="Neutral 33" xfId="1794"/>
    <cellStyle name="Neutral 4" xfId="1795"/>
    <cellStyle name="Neutral 4 2" xfId="1796"/>
    <cellStyle name="Neutral 4 3" xfId="1797"/>
    <cellStyle name="Neutral 5" xfId="1798"/>
    <cellStyle name="Neutral 5 2" xfId="1799"/>
    <cellStyle name="Neutral 5 3" xfId="1800"/>
    <cellStyle name="Neutral 6" xfId="1801"/>
    <cellStyle name="Neutral 6 2" xfId="1802"/>
    <cellStyle name="Neutral 6 3" xfId="1803"/>
    <cellStyle name="Neutral 7" xfId="1804"/>
    <cellStyle name="Neutral 7 2" xfId="1805"/>
    <cellStyle name="Neutral 7 3" xfId="1806"/>
    <cellStyle name="Neutral 8" xfId="1807"/>
    <cellStyle name="Neutral 8 2" xfId="1808"/>
    <cellStyle name="Neutral 8 3" xfId="1809"/>
    <cellStyle name="Neutral 9" xfId="1810"/>
    <cellStyle name="Neutral 9 2" xfId="1811"/>
    <cellStyle name="Neutral 9 3" xfId="1812"/>
    <cellStyle name="no dec" xfId="1813"/>
    <cellStyle name="Normal" xfId="0" builtinId="0"/>
    <cellStyle name="Normal - Style1" xfId="1814"/>
    <cellStyle name="Normal 10" xfId="1815"/>
    <cellStyle name="Normal 10 2" xfId="1816"/>
    <cellStyle name="Normal 10 2 2" xfId="1817"/>
    <cellStyle name="Normal 10 2 3" xfId="1818"/>
    <cellStyle name="Normal 10 2 4" xfId="1819"/>
    <cellStyle name="Normal 10 3" xfId="1820"/>
    <cellStyle name="Normal 10 3 2" xfId="1821"/>
    <cellStyle name="Normal 10 4" xfId="1822"/>
    <cellStyle name="Normal 10 5" xfId="1823"/>
    <cellStyle name="Normal 10 6" xfId="1824"/>
    <cellStyle name="Normal 10 7" xfId="1825"/>
    <cellStyle name="Normal 10 7 2" xfId="1826"/>
    <cellStyle name="Normal 10 8" xfId="1827"/>
    <cellStyle name="Normal 11" xfId="1828"/>
    <cellStyle name="Normal 11 2" xfId="1829"/>
    <cellStyle name="Normal 11 2 2" xfId="1830"/>
    <cellStyle name="Normal 11 3" xfId="1831"/>
    <cellStyle name="Normal 11 4" xfId="1832"/>
    <cellStyle name="Normal 12" xfId="1833"/>
    <cellStyle name="Normal 12 10 2" xfId="1834"/>
    <cellStyle name="Normal 12 2" xfId="1835"/>
    <cellStyle name="Normal 12 2 2" xfId="1836"/>
    <cellStyle name="Normal 12 3" xfId="1837"/>
    <cellStyle name="Normal 12 4" xfId="1838"/>
    <cellStyle name="Normal 13" xfId="1839"/>
    <cellStyle name="Normal 13 2" xfId="1840"/>
    <cellStyle name="Normal 13 3" xfId="1841"/>
    <cellStyle name="Normal 13 4" xfId="1842"/>
    <cellStyle name="Normal 14" xfId="1843"/>
    <cellStyle name="Normal 14 2" xfId="1844"/>
    <cellStyle name="Normal 14 3" xfId="1845"/>
    <cellStyle name="Normal 14 4" xfId="1846"/>
    <cellStyle name="Normal 15" xfId="1847"/>
    <cellStyle name="Normal 15 2" xfId="1848"/>
    <cellStyle name="Normal 15 3" xfId="1849"/>
    <cellStyle name="Normal 16" xfId="1850"/>
    <cellStyle name="Normal 16 2" xfId="1851"/>
    <cellStyle name="Normal 17" xfId="1852"/>
    <cellStyle name="Normal 18" xfId="1853"/>
    <cellStyle name="Normal 19" xfId="1854"/>
    <cellStyle name="Normal 2" xfId="1855"/>
    <cellStyle name="Normal 2 10" xfId="1856"/>
    <cellStyle name="Normal 2 11" xfId="1857"/>
    <cellStyle name="Normal 2 12" xfId="1858"/>
    <cellStyle name="Normal 2 13" xfId="1859"/>
    <cellStyle name="Normal 2 14" xfId="1860"/>
    <cellStyle name="Normal 2 15" xfId="1861"/>
    <cellStyle name="Normal 2 16" xfId="1862"/>
    <cellStyle name="Normal 2 17" xfId="1863"/>
    <cellStyle name="Normal 2 2" xfId="1864"/>
    <cellStyle name="Normal 2 2 10" xfId="1865"/>
    <cellStyle name="Normal 2 2 11" xfId="1866"/>
    <cellStyle name="Normal 2 2 12" xfId="1867"/>
    <cellStyle name="Normal 2 2 13" xfId="1868"/>
    <cellStyle name="Normal 2 2 14" xfId="1869"/>
    <cellStyle name="Normal 2 2 15" xfId="1870"/>
    <cellStyle name="Normal 2 2 2" xfId="1871"/>
    <cellStyle name="Normal 2 2 2 2" xfId="1872"/>
    <cellStyle name="Normal 2 2 2 2 2" xfId="1873"/>
    <cellStyle name="Normal 2 2 2 2 2 2" xfId="1874"/>
    <cellStyle name="Normal 2 2 2 2 2 3" xfId="1875"/>
    <cellStyle name="Normal 2 2 2 2 3" xfId="1876"/>
    <cellStyle name="Normal 2 2 2 2 4" xfId="1877"/>
    <cellStyle name="Normal 2 2 2 2 4 2" xfId="1878"/>
    <cellStyle name="Normal 2 2 2 2 5" xfId="1879"/>
    <cellStyle name="Normal 2 2 2 3" xfId="1880"/>
    <cellStyle name="Normal 2 2 2 4" xfId="1881"/>
    <cellStyle name="Normal 2 2 3" xfId="1882"/>
    <cellStyle name="Normal 2 2 3 2" xfId="1883"/>
    <cellStyle name="Normal 2 2 3 2 2" xfId="1884"/>
    <cellStyle name="Normal 2 2 3 2 3" xfId="1885"/>
    <cellStyle name="Normal 2 2 3 3" xfId="1886"/>
    <cellStyle name="Normal 2 2 3 4" xfId="1887"/>
    <cellStyle name="Normal 2 2 3 5" xfId="1888"/>
    <cellStyle name="Normal 2 2 4" xfId="1889"/>
    <cellStyle name="Normal 2 2 5" xfId="1890"/>
    <cellStyle name="Normal 2 2 6" xfId="1891"/>
    <cellStyle name="Normal 2 2 7" xfId="1892"/>
    <cellStyle name="Normal 2 2 8" xfId="1893"/>
    <cellStyle name="Normal 2 2 9" xfId="1894"/>
    <cellStyle name="Normal 2 2_Working APR 2007-08 Mahagenco_Bhushan_1.3" xfId="1895"/>
    <cellStyle name="Normal 2 3" xfId="1896"/>
    <cellStyle name="Normal 2 3 2" xfId="1897"/>
    <cellStyle name="Normal 2 3 2 2" xfId="1898"/>
    <cellStyle name="Normal 2 3 2 3" xfId="1899"/>
    <cellStyle name="Normal 2 3 2 4" xfId="1900"/>
    <cellStyle name="Normal 2 3 3" xfId="1901"/>
    <cellStyle name="Normal 2 3 4" xfId="1902"/>
    <cellStyle name="Normal 2 3 4 2" xfId="1903"/>
    <cellStyle name="Normal 2 3 5" xfId="1904"/>
    <cellStyle name="Normal 2 3 6" xfId="1905"/>
    <cellStyle name="Normal 2 3 7" xfId="1906"/>
    <cellStyle name="Normal 2 4" xfId="1907"/>
    <cellStyle name="Normal 2 4 2" xfId="1908"/>
    <cellStyle name="Normal 2 4 3" xfId="1909"/>
    <cellStyle name="Normal 2 4 4" xfId="1910"/>
    <cellStyle name="Normal 2 5" xfId="1911"/>
    <cellStyle name="Normal 2 5 2" xfId="1912"/>
    <cellStyle name="Normal 2 5 3" xfId="1913"/>
    <cellStyle name="Normal 2 6" xfId="1914"/>
    <cellStyle name="Normal 2 7" xfId="1915"/>
    <cellStyle name="Normal 2 8" xfId="1916"/>
    <cellStyle name="Normal 2 9" xfId="1917"/>
    <cellStyle name="Normal 2_Annexure XIII submitted to MERC_170407" xfId="1918"/>
    <cellStyle name="Normal 20" xfId="1919"/>
    <cellStyle name="Normal 21" xfId="1920"/>
    <cellStyle name="Normal 22" xfId="1921"/>
    <cellStyle name="Normal 23" xfId="1922"/>
    <cellStyle name="Normal 23 2" xfId="1923"/>
    <cellStyle name="Normal 24" xfId="1924"/>
    <cellStyle name="Normal 25" xfId="1925"/>
    <cellStyle name="Normal 26" xfId="1926"/>
    <cellStyle name="Normal 27" xfId="1927"/>
    <cellStyle name="Normal 28" xfId="1928"/>
    <cellStyle name="Normal 29" xfId="1929"/>
    <cellStyle name="Normal 3" xfId="1930"/>
    <cellStyle name="Normal 3 2" xfId="1931"/>
    <cellStyle name="Normal 3 2 2" xfId="1932"/>
    <cellStyle name="Normal 3 2 3" xfId="1933"/>
    <cellStyle name="Normal 3 3" xfId="1934"/>
    <cellStyle name="Normal 3 3 2" xfId="1935"/>
    <cellStyle name="Normal 3 4" xfId="1936"/>
    <cellStyle name="Normal 3_09-10(A)" xfId="1937"/>
    <cellStyle name="Normal 30" xfId="1938"/>
    <cellStyle name="Normal 30 2" xfId="1939"/>
    <cellStyle name="Normal 30 3" xfId="1940"/>
    <cellStyle name="Normal 31" xfId="1941"/>
    <cellStyle name="Normal 32" xfId="1942"/>
    <cellStyle name="Normal 32 2" xfId="1943"/>
    <cellStyle name="Normal 32 2 2" xfId="1944"/>
    <cellStyle name="Normal 32 2 2 4" xfId="1945"/>
    <cellStyle name="Normal 32 2 2 6" xfId="1946"/>
    <cellStyle name="Normal 32 2 2 7" xfId="1947"/>
    <cellStyle name="Normal 32 2 8" xfId="1948"/>
    <cellStyle name="Normal 32 2 9" xfId="1949"/>
    <cellStyle name="Normal 32 3" xfId="1950"/>
    <cellStyle name="Normal 33" xfId="1951"/>
    <cellStyle name="Normal 33 2" xfId="1952"/>
    <cellStyle name="Normal 33 2 2" xfId="1953"/>
    <cellStyle name="Normal 34" xfId="1954"/>
    <cellStyle name="Normal 35" xfId="1955"/>
    <cellStyle name="Normal 35 2" xfId="1956"/>
    <cellStyle name="Normal 36" xfId="1957"/>
    <cellStyle name="Normal 37" xfId="1958"/>
    <cellStyle name="Normal 37 2" xfId="1959"/>
    <cellStyle name="Normal 37 4" xfId="1960"/>
    <cellStyle name="Normal 37 6" xfId="1961"/>
    <cellStyle name="Normal 37 7" xfId="1962"/>
    <cellStyle name="Normal 37 8" xfId="1963"/>
    <cellStyle name="Normal 38" xfId="1964"/>
    <cellStyle name="Normal 39" xfId="1965"/>
    <cellStyle name="Normal 4" xfId="1966"/>
    <cellStyle name="Normal 4 10" xfId="1967"/>
    <cellStyle name="Normal 4 11" xfId="1968"/>
    <cellStyle name="Normal 4 2" xfId="1969"/>
    <cellStyle name="Normal 4 2 2" xfId="1970"/>
    <cellStyle name="Normal 4 2 3" xfId="1971"/>
    <cellStyle name="Normal 4 3" xfId="1972"/>
    <cellStyle name="Normal 4 3 2" xfId="1973"/>
    <cellStyle name="Normal 4 3 2 2" xfId="1974"/>
    <cellStyle name="Normal 4 3 3" xfId="1975"/>
    <cellStyle name="Normal 4 3 3 3" xfId="1976"/>
    <cellStyle name="Normal 4 4" xfId="1977"/>
    <cellStyle name="Normal 4 5" xfId="1978"/>
    <cellStyle name="Normal 4 6" xfId="1979"/>
    <cellStyle name="Normal 4 7" xfId="1980"/>
    <cellStyle name="Normal 4 8" xfId="1981"/>
    <cellStyle name="Normal 4 9" xfId="1982"/>
    <cellStyle name="Normal 40" xfId="1983"/>
    <cellStyle name="Normal 41" xfId="1984"/>
    <cellStyle name="Normal 42" xfId="1985"/>
    <cellStyle name="Normal 43" xfId="1986"/>
    <cellStyle name="Normal 44" xfId="1987"/>
    <cellStyle name="Normal 44 2" xfId="1988"/>
    <cellStyle name="Normal 45" xfId="1989"/>
    <cellStyle name="Normal 46" xfId="1990"/>
    <cellStyle name="Normal 47" xfId="1991"/>
    <cellStyle name="Normal 47 2" xfId="1992"/>
    <cellStyle name="Normal 5" xfId="1993"/>
    <cellStyle name="Normal 5 2" xfId="1994"/>
    <cellStyle name="Normal 5 2 2" xfId="1995"/>
    <cellStyle name="Normal 5 2 3" xfId="1996"/>
    <cellStyle name="Normal 5 3" xfId="1997"/>
    <cellStyle name="Normal 5 4" xfId="1998"/>
    <cellStyle name="Normal 5 5" xfId="1999"/>
    <cellStyle name="Normal 5 6" xfId="2000"/>
    <cellStyle name="Normal 5 7" xfId="2001"/>
    <cellStyle name="Normal 5 8" xfId="2002"/>
    <cellStyle name="Normal 5 9" xfId="2003"/>
    <cellStyle name="Normal 5_DYCAO" xfId="2004"/>
    <cellStyle name="Normal 6" xfId="2005"/>
    <cellStyle name="Normal 6 2" xfId="2006"/>
    <cellStyle name="Normal 6 3" xfId="2007"/>
    <cellStyle name="Normal 6 4" xfId="2008"/>
    <cellStyle name="Normal 7" xfId="2009"/>
    <cellStyle name="Normal 7 2" xfId="2010"/>
    <cellStyle name="Normal 8" xfId="2011"/>
    <cellStyle name="Normal 8 2" xfId="2012"/>
    <cellStyle name="Normal 8 2 2" xfId="2013"/>
    <cellStyle name="Normal 8 2 2 2" xfId="2014"/>
    <cellStyle name="Normal 8 2 2 3" xfId="2015"/>
    <cellStyle name="Normal 8 2 3" xfId="2016"/>
    <cellStyle name="Normal 8 2 4" xfId="2017"/>
    <cellStyle name="Normal 8 2 5" xfId="2018"/>
    <cellStyle name="Normal 8 3" xfId="2019"/>
    <cellStyle name="Normal 9" xfId="2020"/>
    <cellStyle name="Normal 9 2" xfId="2021"/>
    <cellStyle name="Normal 9 3" xfId="2022"/>
    <cellStyle name="Note 10" xfId="2023"/>
    <cellStyle name="Note 11" xfId="2024"/>
    <cellStyle name="Note 12" xfId="2025"/>
    <cellStyle name="Note 13" xfId="2026"/>
    <cellStyle name="Note 14" xfId="2027"/>
    <cellStyle name="Note 15" xfId="2028"/>
    <cellStyle name="Note 16" xfId="2029"/>
    <cellStyle name="Note 17" xfId="2030"/>
    <cellStyle name="Note 18" xfId="2031"/>
    <cellStyle name="Note 19" xfId="2032"/>
    <cellStyle name="Note 2" xfId="2033"/>
    <cellStyle name="Note 2 2" xfId="2034"/>
    <cellStyle name="Note 2 3" xfId="2035"/>
    <cellStyle name="Note 20" xfId="2036"/>
    <cellStyle name="Note 21" xfId="2037"/>
    <cellStyle name="Note 22" xfId="2038"/>
    <cellStyle name="Note 23" xfId="2039"/>
    <cellStyle name="Note 24" xfId="2040"/>
    <cellStyle name="Note 25" xfId="2041"/>
    <cellStyle name="Note 26" xfId="2042"/>
    <cellStyle name="Note 27" xfId="2043"/>
    <cellStyle name="Note 28" xfId="2044"/>
    <cellStyle name="Note 29" xfId="2045"/>
    <cellStyle name="Note 3" xfId="2046"/>
    <cellStyle name="Note 3 2" xfId="2047"/>
    <cellStyle name="Note 3 3" xfId="2048"/>
    <cellStyle name="Note 30" xfId="2049"/>
    <cellStyle name="Note 31" xfId="2050"/>
    <cellStyle name="Note 32" xfId="2051"/>
    <cellStyle name="Note 33" xfId="2052"/>
    <cellStyle name="Note 4" xfId="2053"/>
    <cellStyle name="Note 4 2" xfId="2054"/>
    <cellStyle name="Note 4 3" xfId="2055"/>
    <cellStyle name="Note 5" xfId="2056"/>
    <cellStyle name="Note 5 2" xfId="2057"/>
    <cellStyle name="Note 5 3" xfId="2058"/>
    <cellStyle name="Note 6" xfId="2059"/>
    <cellStyle name="Note 6 2" xfId="2060"/>
    <cellStyle name="Note 6 3" xfId="2061"/>
    <cellStyle name="Note 7" xfId="2062"/>
    <cellStyle name="Note 7 2" xfId="2063"/>
    <cellStyle name="Note 7 3" xfId="2064"/>
    <cellStyle name="Note 8" xfId="2065"/>
    <cellStyle name="Note 8 2" xfId="2066"/>
    <cellStyle name="Note 8 3" xfId="2067"/>
    <cellStyle name="Note 9" xfId="2068"/>
    <cellStyle name="Note 9 2" xfId="2069"/>
    <cellStyle name="Note 9 3" xfId="2070"/>
    <cellStyle name="Old values" xfId="2071"/>
    <cellStyle name="Output 10" xfId="2072"/>
    <cellStyle name="Output 11" xfId="2073"/>
    <cellStyle name="Output 12" xfId="2074"/>
    <cellStyle name="Output 13" xfId="2075"/>
    <cellStyle name="Output 14" xfId="2076"/>
    <cellStyle name="Output 15" xfId="2077"/>
    <cellStyle name="Output 16" xfId="2078"/>
    <cellStyle name="Output 17" xfId="2079"/>
    <cellStyle name="Output 18" xfId="2080"/>
    <cellStyle name="Output 19" xfId="2081"/>
    <cellStyle name="Output 2" xfId="2082"/>
    <cellStyle name="Output 2 2" xfId="2083"/>
    <cellStyle name="Output 2 3" xfId="2084"/>
    <cellStyle name="Output 20" xfId="2085"/>
    <cellStyle name="Output 21" xfId="2086"/>
    <cellStyle name="Output 22" xfId="2087"/>
    <cellStyle name="Output 23" xfId="2088"/>
    <cellStyle name="Output 24" xfId="2089"/>
    <cellStyle name="Output 25" xfId="2090"/>
    <cellStyle name="Output 26" xfId="2091"/>
    <cellStyle name="Output 27" xfId="2092"/>
    <cellStyle name="Output 28" xfId="2093"/>
    <cellStyle name="Output 29" xfId="2094"/>
    <cellStyle name="Output 3" xfId="2095"/>
    <cellStyle name="Output 3 2" xfId="2096"/>
    <cellStyle name="Output 3 3" xfId="2097"/>
    <cellStyle name="Output 30" xfId="2098"/>
    <cellStyle name="Output 31" xfId="2099"/>
    <cellStyle name="Output 32" xfId="2100"/>
    <cellStyle name="Output 33" xfId="2101"/>
    <cellStyle name="Output 4" xfId="2102"/>
    <cellStyle name="Output 4 2" xfId="2103"/>
    <cellStyle name="Output 4 3" xfId="2104"/>
    <cellStyle name="Output 5" xfId="2105"/>
    <cellStyle name="Output 5 2" xfId="2106"/>
    <cellStyle name="Output 5 3" xfId="2107"/>
    <cellStyle name="Output 6" xfId="2108"/>
    <cellStyle name="Output 6 2" xfId="2109"/>
    <cellStyle name="Output 6 3" xfId="2110"/>
    <cellStyle name="Output 7" xfId="2111"/>
    <cellStyle name="Output 7 2" xfId="2112"/>
    <cellStyle name="Output 7 3" xfId="2113"/>
    <cellStyle name="Output 8" xfId="2114"/>
    <cellStyle name="Output 8 2" xfId="2115"/>
    <cellStyle name="Output 8 3" xfId="2116"/>
    <cellStyle name="Output 9" xfId="2117"/>
    <cellStyle name="Output 9 2" xfId="2118"/>
    <cellStyle name="Output 9 3" xfId="2119"/>
    <cellStyle name="Percent" xfId="2" builtinId="5"/>
    <cellStyle name="Percent [0]_#6 Temps &amp; Contractors" xfId="2120"/>
    <cellStyle name="Percent [2]" xfId="2121"/>
    <cellStyle name="Percent 10" xfId="2122"/>
    <cellStyle name="Percent 11" xfId="2123"/>
    <cellStyle name="Percent 11 2" xfId="2124"/>
    <cellStyle name="Percent 12" xfId="2125"/>
    <cellStyle name="Percent 2" xfId="2126"/>
    <cellStyle name="Percent 2 2" xfId="2127"/>
    <cellStyle name="Percent 2 3" xfId="2128"/>
    <cellStyle name="Percent 2 4" xfId="2129"/>
    <cellStyle name="Percent 2 5" xfId="2130"/>
    <cellStyle name="Percent 2 6" xfId="2131"/>
    <cellStyle name="Percent 2 7" xfId="2132"/>
    <cellStyle name="Percent 2 8" xfId="2133"/>
    <cellStyle name="Percent 2 9" xfId="2134"/>
    <cellStyle name="Percent 3" xfId="2135"/>
    <cellStyle name="Percent 3 2" xfId="2136"/>
    <cellStyle name="Percent 3 2 2" xfId="2137"/>
    <cellStyle name="Percent 3 2 3" xfId="2138"/>
    <cellStyle name="Percent 3 3" xfId="2139"/>
    <cellStyle name="Percent 4" xfId="2140"/>
    <cellStyle name="Percent 41" xfId="2141"/>
    <cellStyle name="Percent 5" xfId="2142"/>
    <cellStyle name="Percent 5 2" xfId="2143"/>
    <cellStyle name="Percent 5 3" xfId="2144"/>
    <cellStyle name="Percent 5 4" xfId="2145"/>
    <cellStyle name="Percent 5 5" xfId="2146"/>
    <cellStyle name="Percent 5 6" xfId="2147"/>
    <cellStyle name="Percent 5 7" xfId="2148"/>
    <cellStyle name="Percent 5 8" xfId="2149"/>
    <cellStyle name="Percent 5 9" xfId="2150"/>
    <cellStyle name="Percent 6" xfId="2151"/>
    <cellStyle name="Percent 6 2" xfId="2152"/>
    <cellStyle name="Percent 7" xfId="2153"/>
    <cellStyle name="Percent 7 2" xfId="2154"/>
    <cellStyle name="Percent 8" xfId="2155"/>
    <cellStyle name="Percent 9" xfId="2156"/>
    <cellStyle name="Reset  - Style7" xfId="2157"/>
    <cellStyle name="Style 1" xfId="2158"/>
    <cellStyle name="Style 2" xfId="2159"/>
    <cellStyle name="Style 3" xfId="2160"/>
    <cellStyle name="Table  - Style6" xfId="2161"/>
    <cellStyle name="Title  - Style1" xfId="2162"/>
    <cellStyle name="Title 10" xfId="2163"/>
    <cellStyle name="Title 11" xfId="2164"/>
    <cellStyle name="Title 12" xfId="2165"/>
    <cellStyle name="Title 13" xfId="2166"/>
    <cellStyle name="Title 14" xfId="2167"/>
    <cellStyle name="Title 15" xfId="2168"/>
    <cellStyle name="Title 16" xfId="2169"/>
    <cellStyle name="Title 17" xfId="2170"/>
    <cellStyle name="Title 18" xfId="2171"/>
    <cellStyle name="Title 19" xfId="2172"/>
    <cellStyle name="Title 2" xfId="2173"/>
    <cellStyle name="Title 2 2" xfId="2174"/>
    <cellStyle name="Title 2 3" xfId="2175"/>
    <cellStyle name="Title 20" xfId="2176"/>
    <cellStyle name="Title 21" xfId="2177"/>
    <cellStyle name="Title 22" xfId="2178"/>
    <cellStyle name="Title 23" xfId="2179"/>
    <cellStyle name="Title 24" xfId="2180"/>
    <cellStyle name="Title 25" xfId="2181"/>
    <cellStyle name="Title 26" xfId="2182"/>
    <cellStyle name="Title 27" xfId="2183"/>
    <cellStyle name="Title 28" xfId="2184"/>
    <cellStyle name="Title 29" xfId="2185"/>
    <cellStyle name="Title 3" xfId="2186"/>
    <cellStyle name="Title 3 2" xfId="2187"/>
    <cellStyle name="Title 3 3" xfId="2188"/>
    <cellStyle name="Title 30" xfId="2189"/>
    <cellStyle name="Title 31" xfId="2190"/>
    <cellStyle name="Title 32" xfId="2191"/>
    <cellStyle name="Title 33" xfId="2192"/>
    <cellStyle name="Title 4" xfId="2193"/>
    <cellStyle name="Title 4 2" xfId="2194"/>
    <cellStyle name="Title 4 3" xfId="2195"/>
    <cellStyle name="Title 5" xfId="2196"/>
    <cellStyle name="Title 5 2" xfId="2197"/>
    <cellStyle name="Title 5 3" xfId="2198"/>
    <cellStyle name="Title 6" xfId="2199"/>
    <cellStyle name="Title 6 2" xfId="2200"/>
    <cellStyle name="Title 6 3" xfId="2201"/>
    <cellStyle name="Title 7" xfId="2202"/>
    <cellStyle name="Title 7 2" xfId="2203"/>
    <cellStyle name="Title 7 3" xfId="2204"/>
    <cellStyle name="Title 8" xfId="2205"/>
    <cellStyle name="Title 8 2" xfId="2206"/>
    <cellStyle name="Title 8 3" xfId="2207"/>
    <cellStyle name="Title 9" xfId="2208"/>
    <cellStyle name="Title 9 2" xfId="2209"/>
    <cellStyle name="Title 9 3" xfId="2210"/>
    <cellStyle name="Total 10" xfId="2211"/>
    <cellStyle name="Total 11" xfId="2212"/>
    <cellStyle name="Total 12" xfId="2213"/>
    <cellStyle name="Total 13" xfId="2214"/>
    <cellStyle name="Total 14" xfId="2215"/>
    <cellStyle name="Total 15" xfId="2216"/>
    <cellStyle name="Total 16" xfId="2217"/>
    <cellStyle name="Total 17" xfId="2218"/>
    <cellStyle name="Total 18" xfId="2219"/>
    <cellStyle name="Total 19" xfId="2220"/>
    <cellStyle name="Total 2" xfId="2221"/>
    <cellStyle name="Total 2 2" xfId="2222"/>
    <cellStyle name="Total 2 3" xfId="2223"/>
    <cellStyle name="Total 20" xfId="2224"/>
    <cellStyle name="Total 21" xfId="2225"/>
    <cellStyle name="Total 22" xfId="2226"/>
    <cellStyle name="Total 23" xfId="2227"/>
    <cellStyle name="Total 24" xfId="2228"/>
    <cellStyle name="Total 25" xfId="2229"/>
    <cellStyle name="Total 26" xfId="2230"/>
    <cellStyle name="Total 27" xfId="2231"/>
    <cellStyle name="Total 28" xfId="2232"/>
    <cellStyle name="Total 29" xfId="2233"/>
    <cellStyle name="Total 3" xfId="2234"/>
    <cellStyle name="Total 3 2" xfId="2235"/>
    <cellStyle name="Total 3 3" xfId="2236"/>
    <cellStyle name="Total 30" xfId="2237"/>
    <cellStyle name="Total 31" xfId="2238"/>
    <cellStyle name="Total 32" xfId="2239"/>
    <cellStyle name="Total 33" xfId="2240"/>
    <cellStyle name="Total 4" xfId="2241"/>
    <cellStyle name="Total 4 2" xfId="2242"/>
    <cellStyle name="Total 4 3" xfId="2243"/>
    <cellStyle name="Total 5" xfId="2244"/>
    <cellStyle name="Total 5 2" xfId="2245"/>
    <cellStyle name="Total 5 3" xfId="2246"/>
    <cellStyle name="Total 6" xfId="2247"/>
    <cellStyle name="Total 6 2" xfId="2248"/>
    <cellStyle name="Total 6 3" xfId="2249"/>
    <cellStyle name="Total 7" xfId="2250"/>
    <cellStyle name="Total 7 2" xfId="2251"/>
    <cellStyle name="Total 7 3" xfId="2252"/>
    <cellStyle name="Total 8" xfId="2253"/>
    <cellStyle name="Total 8 2" xfId="2254"/>
    <cellStyle name="Total 8 3" xfId="2255"/>
    <cellStyle name="Total 9" xfId="2256"/>
    <cellStyle name="Total 9 2" xfId="2257"/>
    <cellStyle name="Total 9 3" xfId="2258"/>
    <cellStyle name="TotCol - Style5" xfId="2259"/>
    <cellStyle name="TotRow - Style4" xfId="2260"/>
    <cellStyle name="Warning Text 10" xfId="2261"/>
    <cellStyle name="Warning Text 11" xfId="2262"/>
    <cellStyle name="Warning Text 12" xfId="2263"/>
    <cellStyle name="Warning Text 13" xfId="2264"/>
    <cellStyle name="Warning Text 14" xfId="2265"/>
    <cellStyle name="Warning Text 15" xfId="2266"/>
    <cellStyle name="Warning Text 16" xfId="2267"/>
    <cellStyle name="Warning Text 17" xfId="2268"/>
    <cellStyle name="Warning Text 18" xfId="2269"/>
    <cellStyle name="Warning Text 19" xfId="2270"/>
    <cellStyle name="Warning Text 2" xfId="2271"/>
    <cellStyle name="Warning Text 2 2" xfId="2272"/>
    <cellStyle name="Warning Text 2 3" xfId="2273"/>
    <cellStyle name="Warning Text 20" xfId="2274"/>
    <cellStyle name="Warning Text 21" xfId="2275"/>
    <cellStyle name="Warning Text 22" xfId="2276"/>
    <cellStyle name="Warning Text 23" xfId="2277"/>
    <cellStyle name="Warning Text 24" xfId="2278"/>
    <cellStyle name="Warning Text 25" xfId="2279"/>
    <cellStyle name="Warning Text 26" xfId="2280"/>
    <cellStyle name="Warning Text 27" xfId="2281"/>
    <cellStyle name="Warning Text 28" xfId="2282"/>
    <cellStyle name="Warning Text 29" xfId="2283"/>
    <cellStyle name="Warning Text 3" xfId="2284"/>
    <cellStyle name="Warning Text 3 2" xfId="2285"/>
    <cellStyle name="Warning Text 3 3" xfId="2286"/>
    <cellStyle name="Warning Text 30" xfId="2287"/>
    <cellStyle name="Warning Text 31" xfId="2288"/>
    <cellStyle name="Warning Text 32" xfId="2289"/>
    <cellStyle name="Warning Text 33" xfId="2290"/>
    <cellStyle name="Warning Text 4" xfId="2291"/>
    <cellStyle name="Warning Text 4 2" xfId="2292"/>
    <cellStyle name="Warning Text 4 3" xfId="2293"/>
    <cellStyle name="Warning Text 5" xfId="2294"/>
    <cellStyle name="Warning Text 5 2" xfId="2295"/>
    <cellStyle name="Warning Text 5 3" xfId="2296"/>
    <cellStyle name="Warning Text 6" xfId="2297"/>
    <cellStyle name="Warning Text 6 2" xfId="2298"/>
    <cellStyle name="Warning Text 6 3" xfId="2299"/>
    <cellStyle name="Warning Text 7" xfId="2300"/>
    <cellStyle name="Warning Text 7 2" xfId="2301"/>
    <cellStyle name="Warning Text 7 3" xfId="2302"/>
    <cellStyle name="Warning Text 8" xfId="2303"/>
    <cellStyle name="Warning Text 8 2" xfId="2304"/>
    <cellStyle name="Warning Text 8 3" xfId="2305"/>
    <cellStyle name="Warning Text 9" xfId="2306"/>
    <cellStyle name="Warning Text 9 2" xfId="2307"/>
    <cellStyle name="Warning Text 9 3" xfId="2308"/>
  </cellStyles>
  <dxfs count="1">
    <dxf>
      <fill>
        <patternFill>
          <bgColor theme="5"/>
        </patternFill>
      </fill>
    </dxf>
  </dxfs>
  <tableStyles count="0" defaultTableStyle="TableStyleMedium2" defaultPivotStyle="PivotStyleLight16"/>
  <colors>
    <mruColors>
      <color rgb="FFD97261"/>
      <color rgb="FFFDE9D9"/>
      <color rgb="FFF9E5AD"/>
      <color rgb="FF137B1F"/>
      <color rgb="FF0C4C14"/>
      <color rgb="FF0C4F00"/>
      <color rgb="FF159B3B"/>
      <color rgb="FFFCF2D4"/>
      <color rgb="FFB26055"/>
      <color rgb="FFDACCB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200"/>
            </a:pPr>
            <a:r>
              <a:rPr lang="en-US" sz="1200" baseline="0"/>
              <a:t>                                                Percentage point (p.p) variation in losses across methodologies</a:t>
            </a:r>
            <a:endParaRPr lang="en-US" sz="1200"/>
          </a:p>
        </c:rich>
      </c:tx>
      <c:layout>
        <c:manualLayout>
          <c:xMode val="edge"/>
          <c:yMode val="edge"/>
          <c:x val="6.0936113136227328E-2"/>
          <c:y val="4.1400146221659342E-3"/>
        </c:manualLayout>
      </c:layout>
      <c:overlay val="1"/>
    </c:title>
    <c:autoTitleDeleted val="0"/>
    <c:plotArea>
      <c:layout>
        <c:manualLayout>
          <c:layoutTarget val="inner"/>
          <c:xMode val="edge"/>
          <c:yMode val="edge"/>
          <c:x val="0.10141622463267584"/>
          <c:y val="0.21017339668697321"/>
          <c:w val="0.88000192070136996"/>
          <c:h val="0.56546513811232568"/>
        </c:manualLayout>
      </c:layout>
      <c:barChart>
        <c:barDir val="col"/>
        <c:grouping val="clustered"/>
        <c:varyColors val="0"/>
        <c:ser>
          <c:idx val="0"/>
          <c:order val="0"/>
          <c:tx>
            <c:strRef>
              <c:f>'Input &amp; Results'!$R$13</c:f>
              <c:strCache>
                <c:ptCount val="1"/>
                <c:pt idx="0">
                  <c:v>Under-estimation or Over-estimation of T&amp;D loss in methodology compared to M1 Energy Handled</c:v>
                </c:pt>
              </c:strCache>
            </c:strRef>
          </c:tx>
          <c:spPr>
            <a:solidFill>
              <a:srgbClr val="FFC000"/>
            </a:solidFill>
            <a:ln>
              <a:noFill/>
            </a:ln>
          </c:spPr>
          <c:invertIfNegative val="0"/>
          <c:cat>
            <c:strRef>
              <c:f>'Input &amp; Results'!$P$14:$P$17</c:f>
              <c:strCache>
                <c:ptCount val="4"/>
                <c:pt idx="0">
                  <c:v>M2DF</c:v>
                </c:pt>
                <c:pt idx="1">
                  <c:v>M3SM</c:v>
                </c:pt>
                <c:pt idx="2">
                  <c:v>M4PP</c:v>
                </c:pt>
                <c:pt idx="3">
                  <c:v>M5Current</c:v>
                </c:pt>
              </c:strCache>
            </c:strRef>
          </c:cat>
          <c:val>
            <c:numRef>
              <c:f>'Input &amp; Results'!$Q$14:$Q$17</c:f>
              <c:numCache>
                <c:formatCode>_-* #,##0.00_-;\-* #,##0.00_-;_-* "-"??_-;_-@_-</c:formatCode>
                <c:ptCount val="4"/>
                <c:pt idx="0">
                  <c:v>-1.1140146173123644</c:v>
                </c:pt>
                <c:pt idx="1">
                  <c:v>1.8228346154506387</c:v>
                </c:pt>
                <c:pt idx="2">
                  <c:v>2.5920876329210696E-2</c:v>
                </c:pt>
                <c:pt idx="3">
                  <c:v>0.61879320269614679</c:v>
                </c:pt>
              </c:numCache>
            </c:numRef>
          </c:val>
        </c:ser>
        <c:ser>
          <c:idx val="1"/>
          <c:order val="1"/>
          <c:tx>
            <c:strRef>
              <c:f>'Input &amp; Results'!$S$13</c:f>
              <c:strCache>
                <c:ptCount val="1"/>
                <c:pt idx="0">
                  <c:v>Under-estimation or Over-estimation of AT&amp;C loss in methodology compared to M1 Energy Handled</c:v>
                </c:pt>
              </c:strCache>
            </c:strRef>
          </c:tx>
          <c:spPr>
            <a:solidFill>
              <a:schemeClr val="accent5"/>
            </a:solidFill>
            <a:ln>
              <a:noFill/>
            </a:ln>
          </c:spPr>
          <c:invertIfNegative val="0"/>
          <c:cat>
            <c:strRef>
              <c:f>'Input &amp; Results'!$P$14:$P$17</c:f>
              <c:strCache>
                <c:ptCount val="4"/>
                <c:pt idx="0">
                  <c:v>M2DF</c:v>
                </c:pt>
                <c:pt idx="1">
                  <c:v>M3SM</c:v>
                </c:pt>
                <c:pt idx="2">
                  <c:v>M4PP</c:v>
                </c:pt>
                <c:pt idx="3">
                  <c:v>M5Current</c:v>
                </c:pt>
              </c:strCache>
            </c:strRef>
          </c:cat>
          <c:val>
            <c:numRef>
              <c:f>'Input &amp; Results'!$R$14:$R$17</c:f>
              <c:numCache>
                <c:formatCode>_-* #,##0.00_-;\-* #,##0.00_-;_-* "-"??_-;_-@_-</c:formatCode>
                <c:ptCount val="4"/>
                <c:pt idx="0">
                  <c:v>-1.1422884867025529</c:v>
                </c:pt>
                <c:pt idx="1">
                  <c:v>5.5511151231257827E-15</c:v>
                </c:pt>
                <c:pt idx="2">
                  <c:v>8.3769569114716669E-2</c:v>
                </c:pt>
                <c:pt idx="3">
                  <c:v>-1.0631363446063968</c:v>
                </c:pt>
              </c:numCache>
            </c:numRef>
          </c:val>
        </c:ser>
        <c:dLbls>
          <c:showLegendKey val="0"/>
          <c:showVal val="0"/>
          <c:showCatName val="0"/>
          <c:showSerName val="0"/>
          <c:showPercent val="0"/>
          <c:showBubbleSize val="0"/>
        </c:dLbls>
        <c:gapWidth val="150"/>
        <c:axId val="101033088"/>
        <c:axId val="101034624"/>
      </c:barChart>
      <c:catAx>
        <c:axId val="101033088"/>
        <c:scaling>
          <c:orientation val="minMax"/>
        </c:scaling>
        <c:delete val="0"/>
        <c:axPos val="b"/>
        <c:majorGridlines/>
        <c:numFmt formatCode="General" sourceLinked="0"/>
        <c:majorTickMark val="out"/>
        <c:minorTickMark val="none"/>
        <c:tickLblPos val="high"/>
        <c:txPr>
          <a:bodyPr/>
          <a:lstStyle/>
          <a:p>
            <a:pPr>
              <a:defRPr sz="1000" b="1"/>
            </a:pPr>
            <a:endParaRPr lang="en-US"/>
          </a:p>
        </c:txPr>
        <c:crossAx val="101034624"/>
        <c:crosses val="autoZero"/>
        <c:auto val="0"/>
        <c:lblAlgn val="ctr"/>
        <c:lblOffset val="100"/>
        <c:noMultiLvlLbl val="0"/>
      </c:catAx>
      <c:valAx>
        <c:axId val="101034624"/>
        <c:scaling>
          <c:orientation val="minMax"/>
        </c:scaling>
        <c:delete val="0"/>
        <c:axPos val="l"/>
        <c:title>
          <c:tx>
            <c:rich>
              <a:bodyPr rot="-5400000" vert="horz"/>
              <a:lstStyle/>
              <a:p>
                <a:pPr>
                  <a:defRPr/>
                </a:pPr>
                <a:r>
                  <a:rPr lang="en-US"/>
                  <a:t>Variation</a:t>
                </a:r>
                <a:r>
                  <a:rPr lang="en-US" baseline="0"/>
                  <a:t> in p.p.</a:t>
                </a:r>
                <a:endParaRPr lang="en-US"/>
              </a:p>
            </c:rich>
          </c:tx>
          <c:overlay val="0"/>
        </c:title>
        <c:numFmt formatCode="_-* #,##0.00_-;\-* #,##0.00_-;_-* &quot;-&quot;??_-;_-@_-" sourceLinked="1"/>
        <c:majorTickMark val="out"/>
        <c:minorTickMark val="none"/>
        <c:tickLblPos val="nextTo"/>
        <c:crossAx val="101033088"/>
        <c:crosses val="autoZero"/>
        <c:crossBetween val="between"/>
      </c:valAx>
    </c:plotArea>
    <c:legend>
      <c:legendPos val="b"/>
      <c:legendEntry>
        <c:idx val="0"/>
        <c:txPr>
          <a:bodyPr/>
          <a:lstStyle/>
          <a:p>
            <a:pPr>
              <a:defRPr sz="1100" b="1" i="0" baseline="0"/>
            </a:pPr>
            <a:endParaRPr lang="en-US"/>
          </a:p>
        </c:txPr>
      </c:legendEntry>
      <c:overlay val="0"/>
      <c:txPr>
        <a:bodyPr/>
        <a:lstStyle/>
        <a:p>
          <a:pPr>
            <a:defRPr sz="1100" b="1" i="0"/>
          </a:pPr>
          <a:endParaRPr lang="en-US"/>
        </a:p>
      </c:txPr>
    </c:legend>
    <c:plotVisOnly val="1"/>
    <c:dispBlanksAs val="gap"/>
    <c:showDLblsOverMax val="0"/>
  </c:chart>
  <c:spPr>
    <a:ln w="22225">
      <a:solidFill>
        <a:schemeClr val="tx2"/>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591923</xdr:colOff>
      <xdr:row>5</xdr:row>
      <xdr:rowOff>115671</xdr:rowOff>
    </xdr:from>
    <xdr:to>
      <xdr:col>12</xdr:col>
      <xdr:colOff>261016</xdr:colOff>
      <xdr:row>9</xdr:row>
      <xdr:rowOff>178114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2856" y="1902138"/>
          <a:ext cx="1176160" cy="8075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7839</xdr:colOff>
      <xdr:row>11</xdr:row>
      <xdr:rowOff>7840</xdr:rowOff>
    </xdr:from>
    <xdr:to>
      <xdr:col>14</xdr:col>
      <xdr:colOff>23518</xdr:colOff>
      <xdr:row>27</xdr:row>
      <xdr:rowOff>23518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0"/>
  <sheetViews>
    <sheetView showGridLines="0" tabSelected="1" zoomScale="80" zoomScaleNormal="80" workbookViewId="0">
      <selection activeCell="R8" sqref="R8"/>
    </sheetView>
  </sheetViews>
  <sheetFormatPr defaultColWidth="10.85546875" defaultRowHeight="15"/>
  <cols>
    <col min="1" max="1" width="3" customWidth="1"/>
    <col min="2" max="2" width="5.42578125" customWidth="1"/>
    <col min="14" max="14" width="15.140625" customWidth="1"/>
    <col min="21" max="21" width="11.42578125" customWidth="1"/>
  </cols>
  <sheetData>
    <row r="2" spans="1:22">
      <c r="B2" s="36"/>
    </row>
    <row r="3" spans="1:22" s="54" customFormat="1" ht="66" customHeight="1">
      <c r="A3" s="59"/>
      <c r="B3" s="350" t="s">
        <v>85</v>
      </c>
      <c r="C3" s="350"/>
      <c r="D3" s="350"/>
      <c r="E3" s="350"/>
      <c r="F3" s="350"/>
      <c r="G3" s="350"/>
      <c r="H3" s="350"/>
      <c r="I3" s="350"/>
      <c r="J3" s="350"/>
      <c r="K3" s="350"/>
      <c r="L3" s="350"/>
      <c r="M3" s="350"/>
      <c r="N3" s="350"/>
      <c r="O3" s="350"/>
      <c r="P3" s="350"/>
      <c r="Q3" s="350"/>
      <c r="R3" s="350"/>
      <c r="S3" s="350"/>
      <c r="T3" s="350"/>
      <c r="U3" s="350"/>
      <c r="V3" s="59"/>
    </row>
    <row r="4" spans="1:22" s="54" customFormat="1" ht="66" customHeight="1">
      <c r="A4" s="59"/>
      <c r="B4" s="350" t="s">
        <v>76</v>
      </c>
      <c r="C4" s="350"/>
      <c r="D4" s="350"/>
      <c r="E4" s="350"/>
      <c r="F4" s="350"/>
      <c r="G4" s="350"/>
      <c r="H4" s="350"/>
      <c r="I4" s="350"/>
      <c r="J4" s="350"/>
      <c r="K4" s="350"/>
      <c r="L4" s="350"/>
      <c r="M4" s="350"/>
      <c r="N4" s="350"/>
      <c r="O4" s="350"/>
      <c r="P4" s="350"/>
      <c r="Q4" s="350"/>
      <c r="R4" s="350"/>
      <c r="S4" s="350"/>
      <c r="T4" s="350"/>
      <c r="U4" s="350"/>
      <c r="V4" s="59"/>
    </row>
    <row r="5" spans="1:22" s="55" customFormat="1" ht="44.45" customHeight="1">
      <c r="A5" s="60"/>
      <c r="B5" s="351" t="s">
        <v>105</v>
      </c>
      <c r="C5" s="352"/>
      <c r="D5" s="352"/>
      <c r="E5" s="352"/>
      <c r="F5" s="352"/>
      <c r="G5" s="352"/>
      <c r="H5" s="352"/>
      <c r="I5" s="352"/>
      <c r="J5" s="352"/>
      <c r="K5" s="352"/>
      <c r="L5" s="352"/>
      <c r="M5" s="352"/>
      <c r="N5" s="352"/>
      <c r="O5" s="352"/>
      <c r="P5" s="352"/>
      <c r="Q5" s="352"/>
      <c r="R5" s="352"/>
      <c r="S5" s="352"/>
      <c r="T5" s="352"/>
      <c r="U5" s="352"/>
      <c r="V5" s="60"/>
    </row>
    <row r="6" spans="1:22">
      <c r="S6" s="36"/>
      <c r="T6" s="36"/>
    </row>
    <row r="11" spans="1:22">
      <c r="B11" s="36"/>
      <c r="C11" s="36"/>
      <c r="D11" s="36"/>
    </row>
    <row r="12" spans="1:22" ht="14.45" customHeight="1">
      <c r="A12" s="36"/>
      <c r="B12" s="353" t="s">
        <v>121</v>
      </c>
      <c r="C12" s="353"/>
      <c r="D12" s="353"/>
      <c r="E12" s="353"/>
      <c r="F12" s="353"/>
      <c r="G12" s="353"/>
      <c r="H12" s="353"/>
      <c r="I12" s="353"/>
      <c r="J12" s="353"/>
      <c r="K12" s="353"/>
      <c r="L12" s="353"/>
      <c r="M12" s="353"/>
      <c r="N12" s="353"/>
      <c r="O12" s="353"/>
      <c r="P12" s="353"/>
      <c r="Q12" s="353"/>
      <c r="R12" s="353"/>
      <c r="S12" s="353"/>
      <c r="T12" s="353"/>
      <c r="U12" s="353"/>
    </row>
    <row r="13" spans="1:22" ht="14.45" customHeight="1">
      <c r="A13" s="36"/>
      <c r="B13" s="353"/>
      <c r="C13" s="353"/>
      <c r="D13" s="353"/>
      <c r="E13" s="353"/>
      <c r="F13" s="353"/>
      <c r="G13" s="353"/>
      <c r="H13" s="353"/>
      <c r="I13" s="353"/>
      <c r="J13" s="353"/>
      <c r="K13" s="353"/>
      <c r="L13" s="353"/>
      <c r="M13" s="353"/>
      <c r="N13" s="353"/>
      <c r="O13" s="353"/>
      <c r="P13" s="353"/>
      <c r="Q13" s="353"/>
      <c r="R13" s="353"/>
      <c r="S13" s="353"/>
      <c r="T13" s="353"/>
      <c r="U13" s="353"/>
    </row>
    <row r="14" spans="1:22" ht="15" customHeight="1">
      <c r="B14" s="353"/>
      <c r="C14" s="353"/>
      <c r="D14" s="353"/>
      <c r="E14" s="353"/>
      <c r="F14" s="353"/>
      <c r="G14" s="353"/>
      <c r="H14" s="353"/>
      <c r="I14" s="353"/>
      <c r="J14" s="353"/>
      <c r="K14" s="353"/>
      <c r="L14" s="353"/>
      <c r="M14" s="353"/>
      <c r="N14" s="353"/>
      <c r="O14" s="353"/>
      <c r="P14" s="353"/>
      <c r="Q14" s="353"/>
      <c r="R14" s="353"/>
      <c r="S14" s="353"/>
      <c r="T14" s="353"/>
      <c r="U14" s="353"/>
    </row>
    <row r="15" spans="1:22" ht="14.45" customHeight="1">
      <c r="B15" s="353"/>
      <c r="C15" s="353"/>
      <c r="D15" s="353"/>
      <c r="E15" s="353"/>
      <c r="F15" s="353"/>
      <c r="G15" s="353"/>
      <c r="H15" s="353"/>
      <c r="I15" s="353"/>
      <c r="J15" s="353"/>
      <c r="K15" s="353"/>
      <c r="L15" s="353"/>
      <c r="M15" s="353"/>
      <c r="N15" s="353"/>
      <c r="O15" s="353"/>
      <c r="P15" s="353"/>
      <c r="Q15" s="353"/>
      <c r="R15" s="353"/>
      <c r="S15" s="353"/>
      <c r="T15" s="353"/>
      <c r="U15" s="353"/>
    </row>
    <row r="16" spans="1:22" ht="14.45" customHeight="1">
      <c r="A16" s="36"/>
      <c r="B16" s="353"/>
      <c r="C16" s="353"/>
      <c r="D16" s="353"/>
      <c r="E16" s="353"/>
      <c r="F16" s="353"/>
      <c r="G16" s="353"/>
      <c r="H16" s="353"/>
      <c r="I16" s="353"/>
      <c r="J16" s="353"/>
      <c r="K16" s="353"/>
      <c r="L16" s="353"/>
      <c r="M16" s="353"/>
      <c r="N16" s="353"/>
      <c r="O16" s="353"/>
      <c r="P16" s="353"/>
      <c r="Q16" s="353"/>
      <c r="R16" s="353"/>
      <c r="S16" s="353"/>
      <c r="T16" s="353"/>
      <c r="U16" s="353"/>
    </row>
    <row r="17" spans="1:21" ht="18.600000000000001" customHeight="1">
      <c r="A17" s="36"/>
      <c r="B17" s="353"/>
      <c r="C17" s="353"/>
      <c r="D17" s="353"/>
      <c r="E17" s="353"/>
      <c r="F17" s="353"/>
      <c r="G17" s="353"/>
      <c r="H17" s="353"/>
      <c r="I17" s="353"/>
      <c r="J17" s="353"/>
      <c r="K17" s="353"/>
      <c r="L17" s="353"/>
      <c r="M17" s="353"/>
      <c r="N17" s="353"/>
      <c r="O17" s="353"/>
      <c r="P17" s="353"/>
      <c r="Q17" s="353"/>
      <c r="R17" s="353"/>
      <c r="S17" s="353"/>
      <c r="T17" s="353"/>
      <c r="U17" s="353"/>
    </row>
    <row r="18" spans="1:21" ht="14.45" customHeight="1">
      <c r="B18" s="353"/>
      <c r="C18" s="353"/>
      <c r="D18" s="353"/>
      <c r="E18" s="353"/>
      <c r="F18" s="353"/>
      <c r="G18" s="353"/>
      <c r="H18" s="353"/>
      <c r="I18" s="353"/>
      <c r="J18" s="353"/>
      <c r="K18" s="353"/>
      <c r="L18" s="353"/>
      <c r="M18" s="353"/>
      <c r="N18" s="353"/>
      <c r="O18" s="353"/>
      <c r="P18" s="353"/>
      <c r="Q18" s="353"/>
      <c r="R18" s="353"/>
      <c r="S18" s="353"/>
      <c r="T18" s="353"/>
      <c r="U18" s="353"/>
    </row>
    <row r="19" spans="1:21" ht="30" customHeight="1">
      <c r="B19" s="353"/>
      <c r="C19" s="353"/>
      <c r="D19" s="353"/>
      <c r="E19" s="353"/>
      <c r="F19" s="353"/>
      <c r="G19" s="353"/>
      <c r="H19" s="353"/>
      <c r="I19" s="353"/>
      <c r="J19" s="353"/>
      <c r="K19" s="353"/>
      <c r="L19" s="353"/>
      <c r="M19" s="353"/>
      <c r="N19" s="353"/>
      <c r="O19" s="353"/>
      <c r="P19" s="353"/>
      <c r="Q19" s="353"/>
      <c r="R19" s="353"/>
      <c r="S19" s="353"/>
      <c r="T19" s="353"/>
      <c r="U19" s="353"/>
    </row>
    <row r="20" spans="1:21" ht="21.6" customHeight="1">
      <c r="B20" s="355" t="s">
        <v>122</v>
      </c>
      <c r="C20" s="355"/>
      <c r="D20" s="355"/>
      <c r="E20" s="355"/>
      <c r="F20" s="355"/>
      <c r="G20" s="355"/>
      <c r="H20" s="355"/>
      <c r="I20" s="355"/>
      <c r="J20" s="355"/>
      <c r="K20" s="355"/>
      <c r="L20" s="355"/>
      <c r="M20" s="355"/>
      <c r="N20" s="355"/>
      <c r="O20" s="355"/>
      <c r="P20" s="355"/>
      <c r="Q20" s="355"/>
      <c r="R20" s="355"/>
      <c r="S20" s="355"/>
      <c r="T20" s="355"/>
      <c r="U20" s="355"/>
    </row>
    <row r="21" spans="1:21" ht="21.6" customHeight="1">
      <c r="B21" s="74" t="s">
        <v>87</v>
      </c>
      <c r="C21" s="354" t="s">
        <v>160</v>
      </c>
      <c r="D21" s="354"/>
      <c r="E21" s="354"/>
      <c r="F21" s="354"/>
      <c r="G21" s="354"/>
      <c r="H21" s="354"/>
      <c r="I21" s="354"/>
      <c r="J21" s="354"/>
      <c r="K21" s="354"/>
      <c r="L21" s="354"/>
      <c r="M21" s="354"/>
      <c r="N21" s="354"/>
      <c r="O21" s="354"/>
      <c r="P21" s="354"/>
      <c r="Q21" s="354"/>
      <c r="R21" s="354"/>
      <c r="S21" s="354"/>
      <c r="T21" s="354"/>
      <c r="U21" s="354"/>
    </row>
    <row r="22" spans="1:21" ht="21.95" customHeight="1">
      <c r="B22" s="74" t="s">
        <v>87</v>
      </c>
      <c r="C22" s="349" t="s">
        <v>123</v>
      </c>
      <c r="D22" s="349"/>
      <c r="E22" s="349"/>
      <c r="F22" s="349"/>
      <c r="G22" s="349"/>
      <c r="H22" s="349"/>
      <c r="I22" s="349"/>
      <c r="J22" s="349"/>
      <c r="K22" s="349"/>
      <c r="L22" s="349"/>
      <c r="M22" s="349"/>
      <c r="N22" s="349"/>
      <c r="O22" s="349"/>
      <c r="P22" s="349"/>
      <c r="Q22" s="349"/>
      <c r="R22" s="349"/>
      <c r="S22" s="349"/>
      <c r="T22" s="349"/>
      <c r="U22" s="349"/>
    </row>
    <row r="23" spans="1:21" ht="39.950000000000003" customHeight="1">
      <c r="B23" s="74" t="s">
        <v>87</v>
      </c>
      <c r="C23" s="349" t="s">
        <v>180</v>
      </c>
      <c r="D23" s="349"/>
      <c r="E23" s="349"/>
      <c r="F23" s="349"/>
      <c r="G23" s="349"/>
      <c r="H23" s="349"/>
      <c r="I23" s="349"/>
      <c r="J23" s="349"/>
      <c r="K23" s="349"/>
      <c r="L23" s="349"/>
      <c r="M23" s="349"/>
      <c r="N23" s="349"/>
      <c r="O23" s="349"/>
      <c r="P23" s="349"/>
      <c r="Q23" s="349"/>
      <c r="R23" s="349"/>
      <c r="S23" s="349"/>
      <c r="T23" s="349"/>
      <c r="U23" s="349"/>
    </row>
    <row r="24" spans="1:21" ht="39.6" customHeight="1">
      <c r="B24" s="74" t="s">
        <v>87</v>
      </c>
      <c r="C24" s="349" t="s">
        <v>181</v>
      </c>
      <c r="D24" s="349"/>
      <c r="E24" s="349"/>
      <c r="F24" s="349"/>
      <c r="G24" s="349"/>
      <c r="H24" s="349"/>
      <c r="I24" s="349"/>
      <c r="J24" s="349"/>
      <c r="K24" s="349"/>
      <c r="L24" s="349"/>
      <c r="M24" s="349"/>
      <c r="N24" s="349"/>
      <c r="O24" s="349"/>
      <c r="P24" s="349"/>
      <c r="Q24" s="349"/>
      <c r="R24" s="349"/>
      <c r="S24" s="349"/>
      <c r="T24" s="349"/>
      <c r="U24" s="349"/>
    </row>
    <row r="25" spans="1:21" ht="21" customHeight="1">
      <c r="B25" s="74" t="s">
        <v>87</v>
      </c>
      <c r="C25" s="349" t="s">
        <v>88</v>
      </c>
      <c r="D25" s="349"/>
      <c r="E25" s="349"/>
      <c r="F25" s="349"/>
      <c r="G25" s="349"/>
      <c r="H25" s="349"/>
      <c r="I25" s="349"/>
      <c r="J25" s="349"/>
      <c r="K25" s="349"/>
      <c r="L25" s="349"/>
      <c r="M25" s="349"/>
      <c r="N25" s="349"/>
      <c r="O25" s="349"/>
      <c r="P25" s="349"/>
      <c r="Q25" s="349"/>
      <c r="R25" s="349"/>
      <c r="S25" s="349"/>
      <c r="T25" s="349"/>
      <c r="U25" s="349"/>
    </row>
    <row r="26" spans="1:21">
      <c r="B26" s="36"/>
      <c r="C26" s="36"/>
      <c r="D26" s="36"/>
      <c r="F26" s="56"/>
      <c r="G26" s="56"/>
      <c r="H26" s="56"/>
      <c r="I26" s="56"/>
      <c r="J26" s="56"/>
      <c r="K26" s="56"/>
      <c r="L26" s="56"/>
      <c r="M26" s="56"/>
      <c r="N26" s="56"/>
      <c r="O26" s="56"/>
      <c r="P26" s="56"/>
      <c r="Q26" s="56"/>
    </row>
    <row r="27" spans="1:21">
      <c r="F27" s="57"/>
      <c r="G27" s="57"/>
      <c r="H27" s="57"/>
      <c r="I27" s="57"/>
      <c r="J27" s="57"/>
      <c r="K27" s="57"/>
      <c r="L27" s="57"/>
      <c r="M27" s="57"/>
      <c r="N27" s="57"/>
      <c r="O27" s="57"/>
      <c r="P27" s="57"/>
      <c r="Q27" s="57"/>
    </row>
    <row r="28" spans="1:21">
      <c r="F28" s="56"/>
      <c r="G28" s="56"/>
      <c r="H28" s="56"/>
      <c r="I28" s="56"/>
      <c r="J28" s="56"/>
      <c r="K28" s="56"/>
      <c r="L28" s="56"/>
      <c r="M28" s="56"/>
      <c r="N28" s="56"/>
      <c r="O28" s="56"/>
      <c r="P28" s="56"/>
      <c r="Q28" s="58"/>
    </row>
    <row r="29" spans="1:21">
      <c r="F29" s="57"/>
      <c r="G29" s="57"/>
      <c r="H29" s="57"/>
      <c r="I29" s="57"/>
      <c r="J29" s="57"/>
      <c r="K29" s="57"/>
      <c r="L29" s="57"/>
      <c r="M29" s="57"/>
      <c r="N29" s="57"/>
      <c r="O29" s="57"/>
      <c r="P29" s="57"/>
      <c r="Q29" s="57"/>
    </row>
    <row r="30" spans="1:21">
      <c r="F30" s="57"/>
      <c r="G30" s="57"/>
      <c r="H30" s="57"/>
      <c r="I30" s="57"/>
      <c r="J30" s="57"/>
      <c r="K30" s="57"/>
      <c r="L30" s="57"/>
      <c r="M30" s="57"/>
      <c r="N30" s="57"/>
      <c r="O30" s="57"/>
      <c r="P30" s="57"/>
      <c r="Q30" s="57"/>
    </row>
  </sheetData>
  <mergeCells count="10">
    <mergeCell ref="C22:U22"/>
    <mergeCell ref="C23:U23"/>
    <mergeCell ref="C24:U24"/>
    <mergeCell ref="C25:U25"/>
    <mergeCell ref="B3:U3"/>
    <mergeCell ref="B5:U5"/>
    <mergeCell ref="B12:U19"/>
    <mergeCell ref="B4:U4"/>
    <mergeCell ref="C21:U21"/>
    <mergeCell ref="B20:U20"/>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zoomScale="80" zoomScaleNormal="80" workbookViewId="0">
      <selection activeCell="E4" sqref="E4"/>
    </sheetView>
  </sheetViews>
  <sheetFormatPr defaultColWidth="8.85546875" defaultRowHeight="15.75"/>
  <cols>
    <col min="1" max="1" width="4" customWidth="1"/>
    <col min="2" max="2" width="2.85546875" style="63" customWidth="1"/>
    <col min="3" max="3" width="3.42578125" style="63" customWidth="1"/>
    <col min="4" max="4" width="43" style="63" customWidth="1"/>
    <col min="5" max="5" width="45" style="63" customWidth="1"/>
    <col min="6" max="6" width="34.85546875" style="63" customWidth="1"/>
    <col min="7" max="7" width="11.42578125" style="63" customWidth="1"/>
    <col min="8" max="8" width="31.85546875" style="63" customWidth="1"/>
    <col min="9" max="9" width="9.140625" style="63" customWidth="1"/>
    <col min="10" max="11" width="8.85546875" style="63"/>
  </cols>
  <sheetData>
    <row r="1" spans="2:11">
      <c r="B1" s="361" t="s">
        <v>44</v>
      </c>
      <c r="C1" s="361"/>
      <c r="D1" s="361"/>
      <c r="E1" s="361"/>
      <c r="F1" s="361"/>
      <c r="G1" s="361"/>
      <c r="H1" s="361"/>
      <c r="I1" s="361"/>
      <c r="J1" s="361"/>
      <c r="K1" s="361"/>
    </row>
    <row r="3" spans="2:11">
      <c r="B3" s="361" t="s">
        <v>108</v>
      </c>
      <c r="C3" s="361"/>
      <c r="D3" s="361"/>
      <c r="E3" s="361"/>
      <c r="F3" s="361"/>
      <c r="G3" s="361"/>
      <c r="H3" s="361"/>
      <c r="I3" s="361"/>
      <c r="J3" s="361"/>
      <c r="K3" s="361"/>
    </row>
    <row r="4" spans="2:11">
      <c r="B4" s="64">
        <v>1</v>
      </c>
      <c r="C4" s="65" t="s">
        <v>117</v>
      </c>
      <c r="D4" s="65"/>
      <c r="E4" s="65"/>
      <c r="F4" s="65"/>
      <c r="G4" s="65"/>
      <c r="H4" s="65"/>
      <c r="I4" s="65"/>
      <c r="J4" s="65"/>
      <c r="K4" s="65"/>
    </row>
    <row r="5" spans="2:11" ht="7.5" customHeight="1">
      <c r="B5" s="64"/>
      <c r="C5" s="65"/>
      <c r="D5" s="65"/>
      <c r="E5" s="65"/>
      <c r="F5" s="65"/>
      <c r="G5" s="65"/>
      <c r="H5" s="65"/>
      <c r="I5" s="65"/>
      <c r="J5" s="65"/>
      <c r="K5" s="65"/>
    </row>
    <row r="6" spans="2:11">
      <c r="B6" s="66">
        <v>2</v>
      </c>
      <c r="C6" s="65" t="s">
        <v>116</v>
      </c>
      <c r="D6" s="65"/>
      <c r="E6" s="65"/>
      <c r="F6" s="65"/>
      <c r="G6" s="65"/>
      <c r="H6" s="65"/>
      <c r="I6" s="65"/>
      <c r="J6" s="65"/>
      <c r="K6" s="65"/>
    </row>
    <row r="7" spans="2:11" ht="15.75" customHeight="1">
      <c r="B7" s="66"/>
      <c r="C7" s="67" t="s">
        <v>89</v>
      </c>
      <c r="D7" s="358" t="s">
        <v>93</v>
      </c>
      <c r="E7" s="358"/>
      <c r="F7" s="358"/>
      <c r="G7" s="358"/>
      <c r="H7" s="358"/>
      <c r="I7" s="358"/>
      <c r="J7" s="358"/>
      <c r="K7" s="358"/>
    </row>
    <row r="8" spans="2:11">
      <c r="B8" s="66"/>
      <c r="C8" s="65"/>
      <c r="D8" s="358"/>
      <c r="E8" s="358"/>
      <c r="F8" s="358"/>
      <c r="G8" s="358"/>
      <c r="H8" s="358"/>
      <c r="I8" s="358"/>
      <c r="J8" s="358"/>
      <c r="K8" s="358"/>
    </row>
    <row r="9" spans="2:11" ht="15.75" customHeight="1">
      <c r="B9" s="154"/>
      <c r="C9" s="67" t="s">
        <v>89</v>
      </c>
      <c r="D9" s="358" t="s">
        <v>130</v>
      </c>
      <c r="E9" s="358"/>
      <c r="F9" s="358"/>
      <c r="G9" s="358"/>
      <c r="H9" s="358"/>
      <c r="I9" s="358"/>
      <c r="J9" s="358"/>
      <c r="K9" s="358"/>
    </row>
    <row r="10" spans="2:11" ht="33.75" customHeight="1">
      <c r="B10" s="154"/>
      <c r="C10" s="67" t="s">
        <v>89</v>
      </c>
      <c r="D10" s="363" t="s">
        <v>157</v>
      </c>
      <c r="E10" s="358"/>
      <c r="F10" s="358"/>
      <c r="G10" s="358"/>
      <c r="H10" s="358"/>
      <c r="I10" s="358"/>
      <c r="J10" s="358"/>
      <c r="K10" s="358"/>
    </row>
    <row r="11" spans="2:11">
      <c r="B11" s="154"/>
      <c r="C11" s="165" t="s">
        <v>89</v>
      </c>
      <c r="D11" s="363" t="s">
        <v>158</v>
      </c>
      <c r="E11" s="358"/>
      <c r="F11" s="358"/>
      <c r="G11" s="358"/>
      <c r="H11" s="358"/>
      <c r="I11" s="358"/>
      <c r="J11" s="358"/>
      <c r="K11" s="358"/>
    </row>
    <row r="12" spans="2:11">
      <c r="B12" s="154"/>
      <c r="C12" s="165"/>
      <c r="D12" s="358"/>
      <c r="E12" s="358"/>
      <c r="F12" s="358"/>
      <c r="G12" s="358"/>
      <c r="H12" s="358"/>
      <c r="I12" s="358"/>
      <c r="J12" s="358"/>
      <c r="K12" s="358"/>
    </row>
    <row r="13" spans="2:11" ht="9.6" customHeight="1">
      <c r="B13" s="154"/>
      <c r="C13" s="67"/>
      <c r="D13" s="358"/>
      <c r="E13" s="358"/>
      <c r="F13" s="358"/>
      <c r="G13" s="358"/>
      <c r="H13" s="358"/>
      <c r="I13" s="358"/>
      <c r="J13" s="358"/>
      <c r="K13" s="358"/>
    </row>
    <row r="14" spans="2:11">
      <c r="B14" s="70">
        <v>3</v>
      </c>
      <c r="C14" s="356" t="s">
        <v>179</v>
      </c>
      <c r="D14" s="357"/>
      <c r="E14" s="357"/>
      <c r="F14" s="357"/>
      <c r="G14" s="357"/>
      <c r="H14" s="357"/>
      <c r="I14" s="357"/>
      <c r="J14" s="357"/>
      <c r="K14" s="357"/>
    </row>
    <row r="15" spans="2:11">
      <c r="B15" s="65"/>
      <c r="C15" s="357"/>
      <c r="D15" s="357"/>
      <c r="E15" s="357"/>
      <c r="F15" s="357"/>
      <c r="G15" s="357"/>
      <c r="H15" s="357"/>
      <c r="I15" s="357"/>
      <c r="J15" s="357"/>
      <c r="K15" s="357"/>
    </row>
    <row r="16" spans="2:11">
      <c r="B16" s="166">
        <v>4</v>
      </c>
      <c r="C16" s="357" t="s">
        <v>118</v>
      </c>
      <c r="D16" s="357"/>
      <c r="E16" s="357"/>
      <c r="F16" s="357"/>
      <c r="G16" s="357"/>
      <c r="H16" s="357"/>
      <c r="I16" s="357"/>
      <c r="J16" s="357"/>
      <c r="K16" s="357"/>
    </row>
    <row r="17" spans="2:11" ht="16.5" thickBot="1">
      <c r="B17" s="71"/>
      <c r="C17" s="167"/>
      <c r="D17" s="167"/>
      <c r="E17" s="167"/>
      <c r="F17" s="167"/>
      <c r="G17" s="167"/>
      <c r="H17" s="167"/>
      <c r="I17" s="167"/>
      <c r="J17" s="167"/>
      <c r="K17" s="167"/>
    </row>
    <row r="18" spans="2:11">
      <c r="B18" s="359" t="s">
        <v>90</v>
      </c>
      <c r="C18" s="359"/>
      <c r="D18" s="359"/>
      <c r="E18" s="359"/>
      <c r="F18" s="359"/>
      <c r="G18" s="359"/>
      <c r="H18" s="359"/>
      <c r="I18" s="359"/>
      <c r="J18" s="359"/>
      <c r="K18" s="359"/>
    </row>
    <row r="19" spans="2:11">
      <c r="B19" s="69" t="s">
        <v>91</v>
      </c>
      <c r="C19" s="358" t="s">
        <v>156</v>
      </c>
      <c r="D19" s="358"/>
      <c r="E19" s="358"/>
      <c r="F19" s="358"/>
      <c r="G19" s="358"/>
      <c r="H19" s="358"/>
      <c r="I19" s="358"/>
      <c r="J19" s="358"/>
      <c r="K19" s="358"/>
    </row>
    <row r="20" spans="2:11">
      <c r="B20" s="72" t="s">
        <v>91</v>
      </c>
      <c r="C20" s="357" t="s">
        <v>109</v>
      </c>
      <c r="D20" s="357"/>
      <c r="E20" s="357"/>
      <c r="F20" s="357"/>
      <c r="G20" s="357"/>
      <c r="H20" s="357"/>
      <c r="I20" s="357"/>
      <c r="J20" s="357"/>
      <c r="K20" s="357"/>
    </row>
    <row r="21" spans="2:11" ht="16.5" thickBot="1">
      <c r="B21" s="71"/>
      <c r="C21" s="360"/>
      <c r="D21" s="360"/>
      <c r="E21" s="360"/>
      <c r="F21" s="360"/>
      <c r="G21" s="360"/>
      <c r="H21" s="360"/>
      <c r="I21" s="360"/>
      <c r="J21" s="360"/>
      <c r="K21" s="360"/>
    </row>
    <row r="22" spans="2:11">
      <c r="B22" s="361" t="s">
        <v>92</v>
      </c>
      <c r="C22" s="362"/>
      <c r="D22" s="362"/>
      <c r="E22" s="362"/>
      <c r="F22" s="362"/>
      <c r="G22" s="362"/>
      <c r="H22" s="362"/>
      <c r="I22" s="362"/>
      <c r="J22" s="362"/>
      <c r="K22" s="362"/>
    </row>
    <row r="23" spans="2:11">
      <c r="B23" s="66">
        <v>1</v>
      </c>
      <c r="C23" s="358" t="s">
        <v>135</v>
      </c>
      <c r="D23" s="358"/>
      <c r="E23" s="358"/>
      <c r="F23" s="358"/>
      <c r="G23" s="358"/>
      <c r="H23" s="358"/>
      <c r="I23" s="358"/>
      <c r="J23" s="358"/>
      <c r="K23" s="358"/>
    </row>
    <row r="24" spans="2:11" ht="15.75" customHeight="1">
      <c r="B24" s="66"/>
      <c r="C24" s="358"/>
      <c r="D24" s="358"/>
      <c r="E24" s="358"/>
      <c r="F24" s="358"/>
      <c r="G24" s="358"/>
      <c r="H24" s="358"/>
      <c r="I24" s="358"/>
      <c r="J24" s="358"/>
      <c r="K24" s="358"/>
    </row>
    <row r="25" spans="2:11" ht="47.25" customHeight="1">
      <c r="B25" s="66"/>
      <c r="C25" s="358"/>
      <c r="D25" s="358"/>
      <c r="E25" s="358"/>
      <c r="F25" s="358"/>
      <c r="G25" s="358"/>
      <c r="H25" s="358"/>
      <c r="I25" s="358"/>
      <c r="J25" s="358"/>
      <c r="K25" s="358"/>
    </row>
    <row r="26" spans="2:11">
      <c r="B26" s="148"/>
      <c r="C26" s="147"/>
      <c r="D26" s="147"/>
      <c r="E26" s="147"/>
      <c r="F26" s="147"/>
      <c r="G26" s="147"/>
      <c r="H26" s="147"/>
      <c r="I26" s="147"/>
      <c r="J26" s="147"/>
      <c r="K26" s="147"/>
    </row>
    <row r="27" spans="2:11" ht="15.75" customHeight="1">
      <c r="B27" s="66">
        <v>2</v>
      </c>
      <c r="C27" s="358" t="s">
        <v>142</v>
      </c>
      <c r="D27" s="358"/>
      <c r="E27" s="358"/>
      <c r="F27" s="358"/>
      <c r="G27" s="358"/>
      <c r="H27" s="358"/>
      <c r="I27" s="358"/>
      <c r="J27" s="358"/>
      <c r="K27" s="358"/>
    </row>
    <row r="28" spans="2:11" ht="35.25" customHeight="1">
      <c r="B28" s="66"/>
      <c r="C28" s="358"/>
      <c r="D28" s="358"/>
      <c r="E28" s="358"/>
      <c r="F28" s="358"/>
      <c r="G28" s="358"/>
      <c r="H28" s="358"/>
      <c r="I28" s="358"/>
      <c r="J28" s="358"/>
      <c r="K28" s="358"/>
    </row>
    <row r="29" spans="2:11">
      <c r="B29" s="148"/>
      <c r="C29" s="147"/>
      <c r="D29" s="147"/>
      <c r="E29" s="147"/>
      <c r="F29" s="147"/>
      <c r="G29" s="147"/>
      <c r="H29" s="147"/>
      <c r="I29" s="147"/>
      <c r="J29" s="147"/>
      <c r="K29" s="147"/>
    </row>
    <row r="30" spans="2:11">
      <c r="B30" s="68">
        <v>3</v>
      </c>
      <c r="C30" s="358" t="s">
        <v>111</v>
      </c>
      <c r="D30" s="358"/>
      <c r="E30" s="358"/>
      <c r="F30" s="358"/>
      <c r="G30" s="358"/>
      <c r="H30" s="358"/>
      <c r="I30" s="358"/>
      <c r="J30" s="358"/>
      <c r="K30" s="358"/>
    </row>
    <row r="31" spans="2:11">
      <c r="B31" s="146"/>
      <c r="C31" s="358"/>
      <c r="D31" s="358"/>
      <c r="E31" s="358"/>
      <c r="F31" s="358"/>
      <c r="G31" s="358"/>
      <c r="H31" s="358"/>
      <c r="I31" s="358"/>
      <c r="J31" s="358"/>
      <c r="K31" s="358"/>
    </row>
    <row r="32" spans="2:11">
      <c r="B32" s="146"/>
      <c r="C32" s="358"/>
      <c r="D32" s="358"/>
      <c r="E32" s="358"/>
      <c r="F32" s="358"/>
      <c r="G32" s="358"/>
      <c r="H32" s="358"/>
      <c r="I32" s="358"/>
      <c r="J32" s="358"/>
      <c r="K32" s="358"/>
    </row>
    <row r="33" spans="2:2">
      <c r="B33" s="150"/>
    </row>
  </sheetData>
  <mergeCells count="16">
    <mergeCell ref="B1:K1"/>
    <mergeCell ref="B3:K3"/>
    <mergeCell ref="D7:K8"/>
    <mergeCell ref="D13:K13"/>
    <mergeCell ref="D11:K12"/>
    <mergeCell ref="D9:K9"/>
    <mergeCell ref="D10:K10"/>
    <mergeCell ref="C14:K15"/>
    <mergeCell ref="C16:K16"/>
    <mergeCell ref="C30:K32"/>
    <mergeCell ref="B18:K18"/>
    <mergeCell ref="C19:K19"/>
    <mergeCell ref="C27:K28"/>
    <mergeCell ref="C23:K25"/>
    <mergeCell ref="C20:K21"/>
    <mergeCell ref="B22:K22"/>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F50"/>
  <sheetViews>
    <sheetView showGridLines="0" zoomScale="80" zoomScaleNormal="80" zoomScalePageLayoutView="81" workbookViewId="0">
      <selection activeCell="H24" sqref="H24"/>
    </sheetView>
  </sheetViews>
  <sheetFormatPr defaultColWidth="11.42578125" defaultRowHeight="15"/>
  <cols>
    <col min="1" max="1" width="2.85546875" customWidth="1"/>
    <col min="2" max="2" width="30.5703125" customWidth="1"/>
    <col min="3" max="3" width="9.140625" customWidth="1"/>
    <col min="4" max="4" width="10" style="45" customWidth="1"/>
    <col min="5" max="5" width="1.42578125" style="43" customWidth="1"/>
    <col min="6" max="6" width="26.42578125" style="43" customWidth="1"/>
    <col min="7" max="7" width="7.85546875" style="43" customWidth="1"/>
    <col min="8" max="8" width="9" style="43" customWidth="1"/>
    <col min="9" max="9" width="2" style="43" customWidth="1"/>
    <col min="10" max="10" width="3.140625" style="43" customWidth="1"/>
    <col min="11" max="11" width="58.42578125" style="34" customWidth="1"/>
    <col min="12" max="12" width="13.140625" style="34" customWidth="1"/>
    <col min="13" max="13" width="14.5703125" customWidth="1"/>
    <col min="14" max="14" width="18.140625" customWidth="1"/>
    <col min="24" max="31" width="11.42578125" style="43"/>
  </cols>
  <sheetData>
    <row r="1" spans="1:32">
      <c r="B1" s="369" t="s">
        <v>5</v>
      </c>
      <c r="C1" s="369"/>
      <c r="D1" s="369"/>
      <c r="E1" s="369"/>
      <c r="F1" s="369"/>
      <c r="G1" s="369"/>
      <c r="H1" s="369"/>
      <c r="I1" s="156"/>
      <c r="J1" s="368" t="s">
        <v>125</v>
      </c>
      <c r="K1" s="368"/>
      <c r="L1" s="368"/>
      <c r="M1" s="368"/>
      <c r="N1" s="368"/>
      <c r="X1"/>
      <c r="AF1" s="43"/>
    </row>
    <row r="2" spans="1:32" ht="15.95" customHeight="1">
      <c r="D2"/>
      <c r="E2"/>
      <c r="J2"/>
      <c r="K2"/>
      <c r="L2"/>
      <c r="X2"/>
      <c r="AF2" s="43"/>
    </row>
    <row r="3" spans="1:32" ht="15.75" customHeight="1" thickBot="1">
      <c r="B3" s="364" t="s">
        <v>106</v>
      </c>
      <c r="C3" s="365"/>
      <c r="D3" s="365"/>
      <c r="E3" s="365"/>
      <c r="F3" s="365"/>
      <c r="G3" s="365"/>
      <c r="H3" s="365"/>
      <c r="J3" s="366" t="s">
        <v>134</v>
      </c>
      <c r="K3" s="367"/>
      <c r="L3" s="172" t="s">
        <v>49</v>
      </c>
      <c r="M3" s="172" t="s">
        <v>79</v>
      </c>
      <c r="N3" s="173" t="s">
        <v>50</v>
      </c>
      <c r="X3"/>
      <c r="AF3" s="43"/>
    </row>
    <row r="4" spans="1:32" ht="15.75" customHeight="1">
      <c r="B4" s="275" t="s">
        <v>129</v>
      </c>
      <c r="C4" s="276" t="s">
        <v>9</v>
      </c>
      <c r="D4" s="277" t="s">
        <v>120</v>
      </c>
      <c r="E4" s="278"/>
      <c r="F4" s="373" t="s">
        <v>131</v>
      </c>
      <c r="G4" s="374"/>
      <c r="H4" s="375"/>
      <c r="I4" s="38"/>
      <c r="J4" s="161">
        <v>1</v>
      </c>
      <c r="K4" s="40" t="s">
        <v>45</v>
      </c>
      <c r="L4" s="272">
        <f>'M1Energy Handled '!D33</f>
        <v>0.24468432352155614</v>
      </c>
      <c r="M4" s="272">
        <f>'M1Energy Handled '!D38</f>
        <v>0.31317625357475976</v>
      </c>
      <c r="N4" s="259" t="s">
        <v>72</v>
      </c>
      <c r="X4"/>
      <c r="AF4" s="43"/>
    </row>
    <row r="5" spans="1:32" s="38" customFormat="1" ht="15.95" customHeight="1">
      <c r="B5" s="279" t="s">
        <v>113</v>
      </c>
      <c r="C5" s="280">
        <v>106312</v>
      </c>
      <c r="D5" s="270">
        <f>D6+D9+D12</f>
        <v>1</v>
      </c>
      <c r="E5" s="281"/>
      <c r="F5" s="282" t="s">
        <v>10</v>
      </c>
      <c r="G5" s="376">
        <v>2.86E-2</v>
      </c>
      <c r="H5" s="377"/>
      <c r="I5" s="43"/>
      <c r="J5" s="161">
        <v>2</v>
      </c>
      <c r="K5" s="157" t="s">
        <v>83</v>
      </c>
      <c r="L5" s="348">
        <f>M2DF!D33</f>
        <v>0.2335441773484325</v>
      </c>
      <c r="M5" s="348">
        <f>M2DF!D39</f>
        <v>0.30175336870773423</v>
      </c>
      <c r="N5" s="259" t="s">
        <v>73</v>
      </c>
      <c r="Y5" s="145"/>
      <c r="Z5" s="145"/>
      <c r="AA5" s="145"/>
      <c r="AB5" s="145"/>
      <c r="AC5" s="145"/>
      <c r="AD5" s="145"/>
      <c r="AE5" s="145"/>
      <c r="AF5" s="145"/>
    </row>
    <row r="6" spans="1:32" ht="18" customHeight="1">
      <c r="B6" s="283" t="s">
        <v>126</v>
      </c>
      <c r="C6" s="284">
        <f>D6*C5</f>
        <v>95680.8</v>
      </c>
      <c r="D6" s="285">
        <v>0.9</v>
      </c>
      <c r="E6" s="281"/>
      <c r="F6" s="286" t="s">
        <v>81</v>
      </c>
      <c r="G6" s="378">
        <v>3.4864714474507896E-2</v>
      </c>
      <c r="H6" s="379"/>
      <c r="J6" s="161">
        <v>3</v>
      </c>
      <c r="K6" s="158" t="s">
        <v>82</v>
      </c>
      <c r="L6" s="348">
        <f>M3SM!D33</f>
        <v>0.26291266967606253</v>
      </c>
      <c r="M6" s="348">
        <f>M3SM!D38</f>
        <v>0.31317625357475981</v>
      </c>
      <c r="N6" s="259" t="s">
        <v>74</v>
      </c>
      <c r="X6"/>
      <c r="AF6" s="43"/>
    </row>
    <row r="7" spans="1:32" ht="15.6" customHeight="1">
      <c r="B7" s="287" t="s">
        <v>10</v>
      </c>
      <c r="C7" s="288">
        <f>D7*$C$6</f>
        <v>36358.703999999998</v>
      </c>
      <c r="D7" s="289">
        <v>0.38</v>
      </c>
      <c r="E7" s="281"/>
      <c r="F7" s="286" t="s">
        <v>47</v>
      </c>
      <c r="G7" s="378">
        <v>6.0196008324394694E-2</v>
      </c>
      <c r="H7" s="379"/>
      <c r="J7" s="161">
        <v>4</v>
      </c>
      <c r="K7" s="158" t="s">
        <v>84</v>
      </c>
      <c r="L7" s="348">
        <f>M4PP!D33</f>
        <v>0.24494353228484825</v>
      </c>
      <c r="M7" s="348">
        <f>M4PP!D38</f>
        <v>0.31401394926590692</v>
      </c>
      <c r="N7" s="259" t="s">
        <v>75</v>
      </c>
      <c r="X7"/>
      <c r="AF7" s="43"/>
    </row>
    <row r="8" spans="1:32" ht="15.75" customHeight="1">
      <c r="B8" s="290" t="s">
        <v>13</v>
      </c>
      <c r="C8" s="291">
        <f>D8*$C$6</f>
        <v>59322.096000000005</v>
      </c>
      <c r="D8" s="273">
        <f>1-D7</f>
        <v>0.62</v>
      </c>
      <c r="E8" s="292"/>
      <c r="F8" s="286" t="s">
        <v>48</v>
      </c>
      <c r="G8" s="378">
        <v>8.0304471931493815E-2</v>
      </c>
      <c r="H8" s="379"/>
      <c r="J8" s="161">
        <v>5</v>
      </c>
      <c r="K8" s="39" t="s">
        <v>103</v>
      </c>
      <c r="L8" s="380">
        <f>M5Current!D33</f>
        <v>0.25087225554851761</v>
      </c>
      <c r="M8" s="380">
        <f>M5Current!D38</f>
        <v>0.30254489012869579</v>
      </c>
      <c r="N8" s="382" t="s">
        <v>77</v>
      </c>
      <c r="X8"/>
      <c r="AF8" s="43"/>
    </row>
    <row r="9" spans="1:32" ht="15.75" customHeight="1">
      <c r="B9" s="283" t="s">
        <v>52</v>
      </c>
      <c r="C9" s="293">
        <f>C5*D9</f>
        <v>1063.1200000000001</v>
      </c>
      <c r="D9" s="294">
        <v>0.01</v>
      </c>
      <c r="E9" s="295"/>
      <c r="F9" s="296" t="s">
        <v>55</v>
      </c>
      <c r="G9" s="384">
        <v>0.1512293986010049</v>
      </c>
      <c r="H9" s="385"/>
      <c r="J9" s="162"/>
      <c r="K9" s="73" t="s">
        <v>83</v>
      </c>
      <c r="L9" s="380"/>
      <c r="M9" s="380"/>
      <c r="N9" s="382"/>
      <c r="X9"/>
      <c r="AF9" s="43"/>
    </row>
    <row r="10" spans="1:32" ht="15" customHeight="1">
      <c r="B10" s="287" t="s">
        <v>10</v>
      </c>
      <c r="C10" s="297">
        <f>$C$9*D10</f>
        <v>425.24799999999999</v>
      </c>
      <c r="D10" s="298">
        <v>0.39999999999999997</v>
      </c>
      <c r="E10" s="295"/>
      <c r="F10" s="299"/>
      <c r="G10" s="299"/>
      <c r="H10" s="299"/>
      <c r="J10" s="163"/>
      <c r="K10" s="159" t="s">
        <v>82</v>
      </c>
      <c r="L10" s="380"/>
      <c r="M10" s="380"/>
      <c r="N10" s="382"/>
      <c r="X10"/>
      <c r="AF10" s="43"/>
    </row>
    <row r="11" spans="1:32" ht="15.75" customHeight="1">
      <c r="B11" s="290" t="s">
        <v>13</v>
      </c>
      <c r="C11" s="300">
        <f>$C$9*D11</f>
        <v>637.87200000000018</v>
      </c>
      <c r="D11" s="274">
        <f>1-D10</f>
        <v>0.60000000000000009</v>
      </c>
      <c r="E11" s="295"/>
      <c r="F11" s="386" t="s">
        <v>132</v>
      </c>
      <c r="G11" s="387"/>
      <c r="H11" s="388"/>
      <c r="J11" s="164"/>
      <c r="K11" s="160" t="s">
        <v>84</v>
      </c>
      <c r="L11" s="381"/>
      <c r="M11" s="381"/>
      <c r="N11" s="383"/>
      <c r="P11" s="169"/>
      <c r="Q11" s="169"/>
      <c r="R11" s="169"/>
      <c r="S11" s="169"/>
      <c r="T11" s="169"/>
      <c r="U11" s="169"/>
      <c r="V11" s="169"/>
    </row>
    <row r="12" spans="1:32" ht="15.75" customHeight="1">
      <c r="A12" s="36"/>
      <c r="B12" s="301" t="s">
        <v>112</v>
      </c>
      <c r="C12" s="302">
        <f>C5*D12</f>
        <v>9568.08</v>
      </c>
      <c r="D12" s="294">
        <v>0.09</v>
      </c>
      <c r="E12" s="295"/>
      <c r="F12" s="303" t="s">
        <v>104</v>
      </c>
      <c r="G12" s="370">
        <v>0.9</v>
      </c>
      <c r="H12" s="371"/>
      <c r="I12" s="35"/>
      <c r="K12" s="39"/>
      <c r="L12" s="39"/>
      <c r="P12" s="169"/>
      <c r="Q12" s="169"/>
      <c r="R12" s="169"/>
      <c r="S12" s="169"/>
      <c r="T12" s="169"/>
      <c r="U12" s="169"/>
      <c r="V12" s="169"/>
    </row>
    <row r="13" spans="1:32" ht="16.5" customHeight="1">
      <c r="A13" s="36"/>
      <c r="B13" s="287" t="s">
        <v>10</v>
      </c>
      <c r="C13" s="297">
        <f>$C$12*D13</f>
        <v>956.80799999999999</v>
      </c>
      <c r="D13" s="304">
        <v>0.1</v>
      </c>
      <c r="E13" s="292"/>
      <c r="F13" s="305"/>
      <c r="G13" s="292"/>
      <c r="H13" s="292"/>
      <c r="K13" s="35"/>
      <c r="L13" s="35"/>
      <c r="M13" s="35"/>
      <c r="P13" s="169"/>
      <c r="Q13" s="169" t="s">
        <v>43</v>
      </c>
      <c r="R13" s="169" t="s">
        <v>124</v>
      </c>
      <c r="S13" s="169" t="s">
        <v>107</v>
      </c>
      <c r="T13" s="169"/>
      <c r="U13" s="169"/>
      <c r="V13" s="169"/>
      <c r="X13"/>
      <c r="AF13" s="43"/>
    </row>
    <row r="14" spans="1:32" ht="16.5" customHeight="1">
      <c r="A14" s="36"/>
      <c r="B14" s="287" t="s">
        <v>13</v>
      </c>
      <c r="C14" s="297">
        <f>$C$12*D14</f>
        <v>6410.6136000000006</v>
      </c>
      <c r="D14" s="304">
        <v>0.67</v>
      </c>
      <c r="E14" s="306"/>
      <c r="F14" s="307" t="s">
        <v>133</v>
      </c>
      <c r="G14" s="308" t="s">
        <v>9</v>
      </c>
      <c r="H14" s="309" t="s">
        <v>120</v>
      </c>
      <c r="K14" s="43"/>
      <c r="M14" s="61"/>
      <c r="P14" s="169" t="str">
        <f>N5</f>
        <v>M2DF</v>
      </c>
      <c r="Q14" s="170">
        <f>(L5-L4)*100</f>
        <v>-1.1140146173123644</v>
      </c>
      <c r="R14" s="170">
        <f>(M5-M4)*100</f>
        <v>-1.1422884867025529</v>
      </c>
      <c r="S14" s="169"/>
      <c r="T14" s="169"/>
      <c r="U14" s="169"/>
      <c r="V14" s="169"/>
      <c r="X14"/>
      <c r="Z14" s="372"/>
      <c r="AA14" s="372"/>
      <c r="AB14" s="372"/>
      <c r="AF14" s="43"/>
    </row>
    <row r="15" spans="1:32" ht="15.75" customHeight="1">
      <c r="A15" s="36"/>
      <c r="B15" s="310" t="s">
        <v>29</v>
      </c>
      <c r="C15" s="297">
        <f>$C$12*D15</f>
        <v>956.80799999999999</v>
      </c>
      <c r="D15" s="311">
        <v>0.1</v>
      </c>
      <c r="E15" s="306"/>
      <c r="F15" s="312" t="s">
        <v>102</v>
      </c>
      <c r="G15" s="313">
        <v>6400</v>
      </c>
      <c r="H15" s="271">
        <f>G15/G17</f>
        <v>0.64646464646464652</v>
      </c>
      <c r="K15" s="41"/>
      <c r="L15" s="41"/>
      <c r="M15" s="41"/>
      <c r="P15" s="169" t="str">
        <f>N6</f>
        <v>M3SM</v>
      </c>
      <c r="Q15" s="170">
        <f>(L6-L4)*100</f>
        <v>1.8228346154506387</v>
      </c>
      <c r="R15" s="170">
        <f>(M6-M4)*100</f>
        <v>5.5511151231257827E-15</v>
      </c>
      <c r="S15" s="169"/>
      <c r="T15" s="169"/>
      <c r="U15" s="169"/>
      <c r="V15" s="169"/>
      <c r="X15"/>
      <c r="AF15" s="43"/>
    </row>
    <row r="16" spans="1:32" ht="18" customHeight="1">
      <c r="A16" s="36"/>
      <c r="B16" s="310" t="s">
        <v>23</v>
      </c>
      <c r="C16" s="297">
        <f>$C$12*D16</f>
        <v>765.44640000000004</v>
      </c>
      <c r="D16" s="311">
        <v>0.08</v>
      </c>
      <c r="E16" s="314"/>
      <c r="F16" s="315" t="s">
        <v>51</v>
      </c>
      <c r="G16" s="316">
        <v>3500</v>
      </c>
      <c r="H16" s="317">
        <f>G16/G17</f>
        <v>0.35353535353535354</v>
      </c>
      <c r="L16" s="37"/>
      <c r="P16" s="169" t="str">
        <f>N7</f>
        <v>M4PP</v>
      </c>
      <c r="Q16" s="170">
        <f>(L7-L4)*100</f>
        <v>2.5920876329210696E-2</v>
      </c>
      <c r="R16" s="170">
        <f>(M7-M4)*100</f>
        <v>8.3769569114716669E-2</v>
      </c>
      <c r="S16" s="169"/>
      <c r="T16" s="169"/>
      <c r="U16" s="169"/>
      <c r="V16" s="169"/>
    </row>
    <row r="17" spans="1:22" ht="15.75" customHeight="1">
      <c r="A17" s="36"/>
      <c r="B17" s="318" t="s">
        <v>63</v>
      </c>
      <c r="C17" s="300">
        <f>$C$12*D17</f>
        <v>478.404</v>
      </c>
      <c r="D17" s="319">
        <v>0.05</v>
      </c>
      <c r="E17" s="314"/>
      <c r="F17" s="320" t="s">
        <v>119</v>
      </c>
      <c r="G17" s="321">
        <f>G15+G16</f>
        <v>9900</v>
      </c>
      <c r="H17" s="346">
        <f>SUM(H18:H21)</f>
        <v>1</v>
      </c>
      <c r="L17" s="62"/>
      <c r="P17" s="169" t="str">
        <f>N8</f>
        <v>M5Current</v>
      </c>
      <c r="Q17" s="170">
        <f>(L8-L4)*100</f>
        <v>0.61879320269614679</v>
      </c>
      <c r="R17" s="170">
        <f>(M8-M4)*100</f>
        <v>-1.0631363446063968</v>
      </c>
      <c r="S17" s="169"/>
      <c r="T17" s="169"/>
      <c r="U17" s="169"/>
      <c r="V17" s="169"/>
    </row>
    <row r="18" spans="1:22" ht="15.75" customHeight="1">
      <c r="A18" s="36"/>
      <c r="B18" s="301" t="s">
        <v>80</v>
      </c>
      <c r="C18" s="322">
        <v>73465.626710860452</v>
      </c>
      <c r="D18" s="344">
        <f>SUM(D19:D22)</f>
        <v>1</v>
      </c>
      <c r="E18" s="314"/>
      <c r="F18" s="323" t="s">
        <v>35</v>
      </c>
      <c r="G18" s="297">
        <f>$G$17*H18</f>
        <v>4950</v>
      </c>
      <c r="H18" s="324">
        <v>0.5</v>
      </c>
      <c r="L18" s="62"/>
      <c r="P18" s="169"/>
      <c r="Q18" s="169"/>
      <c r="R18" s="169"/>
      <c r="S18" s="169"/>
      <c r="T18" s="169"/>
      <c r="U18" s="169"/>
      <c r="V18" s="169"/>
    </row>
    <row r="19" spans="1:22" ht="15.75" customHeight="1">
      <c r="A19" s="36"/>
      <c r="B19" s="325" t="s">
        <v>35</v>
      </c>
      <c r="C19" s="326">
        <f>$C$18*D19</f>
        <v>734.65626710860454</v>
      </c>
      <c r="D19" s="324">
        <v>0.01</v>
      </c>
      <c r="E19" s="314"/>
      <c r="F19" s="310" t="s">
        <v>29</v>
      </c>
      <c r="G19" s="297">
        <f>$G$17*H19</f>
        <v>2970</v>
      </c>
      <c r="H19" s="327">
        <v>0.3</v>
      </c>
      <c r="L19" s="62"/>
      <c r="P19" s="169"/>
      <c r="Q19" s="169"/>
      <c r="R19" s="169"/>
      <c r="S19" s="169"/>
      <c r="T19" s="169"/>
      <c r="U19" s="169"/>
      <c r="V19" s="169"/>
    </row>
    <row r="20" spans="1:22" ht="15" customHeight="1">
      <c r="A20" s="36"/>
      <c r="B20" s="325" t="s">
        <v>29</v>
      </c>
      <c r="C20" s="326">
        <f>$C$18*D20</f>
        <v>5142.5938697602323</v>
      </c>
      <c r="D20" s="327">
        <v>7.0000000000000007E-2</v>
      </c>
      <c r="E20" s="314"/>
      <c r="F20" s="310" t="s">
        <v>23</v>
      </c>
      <c r="G20" s="297">
        <f>$G$17*H20</f>
        <v>1980</v>
      </c>
      <c r="H20" s="327">
        <v>0.2</v>
      </c>
      <c r="L20" s="62"/>
      <c r="P20" s="169"/>
      <c r="Q20" s="169"/>
      <c r="R20" s="169"/>
      <c r="S20" s="169"/>
      <c r="T20" s="169"/>
      <c r="U20" s="169"/>
      <c r="V20" s="169"/>
    </row>
    <row r="21" spans="1:22" ht="15.75" customHeight="1">
      <c r="A21" s="36"/>
      <c r="B21" s="325" t="s">
        <v>23</v>
      </c>
      <c r="C21" s="326">
        <f>$C$18*D21</f>
        <v>9550.5314724118598</v>
      </c>
      <c r="D21" s="327">
        <v>0.13</v>
      </c>
      <c r="E21" s="299"/>
      <c r="F21" s="318" t="s">
        <v>63</v>
      </c>
      <c r="G21" s="300">
        <f>$G$17*H21</f>
        <v>0</v>
      </c>
      <c r="H21" s="328">
        <f>H27</f>
        <v>0</v>
      </c>
      <c r="L21" s="62"/>
      <c r="P21" s="169"/>
      <c r="Q21" s="169"/>
      <c r="R21" s="169"/>
      <c r="S21" s="169"/>
      <c r="T21" s="169"/>
      <c r="U21" s="169"/>
      <c r="V21" s="169"/>
    </row>
    <row r="22" spans="1:22" ht="15.75" customHeight="1">
      <c r="A22" s="36"/>
      <c r="B22" s="329" t="s">
        <v>63</v>
      </c>
      <c r="C22" s="330">
        <f>$C$18*D22</f>
        <v>58037.845101579762</v>
      </c>
      <c r="D22" s="328">
        <v>0.79</v>
      </c>
      <c r="E22" s="299"/>
      <c r="F22" s="331" t="s">
        <v>128</v>
      </c>
      <c r="G22" s="332"/>
      <c r="H22" s="347">
        <f>SUM(H23:H27)</f>
        <v>1</v>
      </c>
      <c r="L22" s="35"/>
      <c r="P22" s="169"/>
      <c r="Q22" s="169"/>
      <c r="R22" s="169"/>
      <c r="S22" s="169"/>
      <c r="T22" s="169"/>
      <c r="U22" s="169"/>
      <c r="V22" s="169"/>
    </row>
    <row r="23" spans="1:22" ht="15" customHeight="1">
      <c r="A23" s="36"/>
      <c r="B23" s="301" t="s">
        <v>127</v>
      </c>
      <c r="C23" s="322">
        <v>4100</v>
      </c>
      <c r="D23" s="345">
        <f>SUM(D24:D27)</f>
        <v>1</v>
      </c>
      <c r="E23" s="306"/>
      <c r="F23" s="333" t="s">
        <v>46</v>
      </c>
      <c r="G23" s="334"/>
      <c r="H23" s="335">
        <v>0.28000000000000003</v>
      </c>
      <c r="P23" s="169"/>
      <c r="Q23" s="169"/>
      <c r="R23" s="169"/>
      <c r="S23" s="169"/>
      <c r="T23" s="169"/>
      <c r="U23" s="169"/>
      <c r="V23" s="169"/>
    </row>
    <row r="24" spans="1:22" ht="15.75" customHeight="1">
      <c r="A24" s="36"/>
      <c r="B24" s="323" t="s">
        <v>35</v>
      </c>
      <c r="C24" s="297">
        <f>$C$23*D24</f>
        <v>0</v>
      </c>
      <c r="D24" s="324">
        <v>0</v>
      </c>
      <c r="E24" s="306"/>
      <c r="F24" s="336" t="s">
        <v>53</v>
      </c>
      <c r="G24" s="334"/>
      <c r="H24" s="311">
        <v>0.36</v>
      </c>
      <c r="P24" s="169"/>
      <c r="Q24" s="169"/>
      <c r="R24" s="169"/>
      <c r="S24" s="169"/>
      <c r="T24" s="169"/>
      <c r="U24" s="169"/>
      <c r="V24" s="169"/>
    </row>
    <row r="25" spans="1:22" ht="15.75" customHeight="1">
      <c r="A25" s="36"/>
      <c r="B25" s="310" t="s">
        <v>29</v>
      </c>
      <c r="C25" s="297">
        <f>$C$23*D25</f>
        <v>246</v>
      </c>
      <c r="D25" s="327">
        <v>0.06</v>
      </c>
      <c r="E25" s="306"/>
      <c r="F25" s="325" t="s">
        <v>29</v>
      </c>
      <c r="G25" s="337"/>
      <c r="H25" s="327">
        <v>0.26</v>
      </c>
    </row>
    <row r="26" spans="1:22" ht="15" customHeight="1">
      <c r="A26" s="36"/>
      <c r="B26" s="310" t="s">
        <v>23</v>
      </c>
      <c r="C26" s="297">
        <f>$C$23*D26</f>
        <v>574</v>
      </c>
      <c r="D26" s="327">
        <v>0.14000000000000001</v>
      </c>
      <c r="E26" s="299"/>
      <c r="F26" s="325" t="s">
        <v>23</v>
      </c>
      <c r="G26" s="337"/>
      <c r="H26" s="327">
        <v>0.1</v>
      </c>
    </row>
    <row r="27" spans="1:22" ht="15" customHeight="1">
      <c r="A27" s="36"/>
      <c r="B27" s="338" t="s">
        <v>63</v>
      </c>
      <c r="C27" s="339">
        <f>$C$23*D27</f>
        <v>3280</v>
      </c>
      <c r="D27" s="340">
        <v>0.8</v>
      </c>
      <c r="E27" s="341"/>
      <c r="F27" s="342" t="s">
        <v>63</v>
      </c>
      <c r="G27" s="343"/>
      <c r="H27" s="340">
        <v>0</v>
      </c>
    </row>
    <row r="28" spans="1:22" ht="15" customHeight="1">
      <c r="A28" s="36"/>
      <c r="B28" s="151"/>
      <c r="C28" s="152"/>
      <c r="D28" s="153"/>
      <c r="E28" s="44"/>
    </row>
    <row r="29" spans="1:22" ht="15" customHeight="1">
      <c r="A29" s="36"/>
      <c r="E29" s="44"/>
    </row>
    <row r="30" spans="1:22" ht="15" customHeight="1">
      <c r="A30" s="36"/>
    </row>
    <row r="31" spans="1:22" ht="15.75" customHeight="1">
      <c r="A31" s="36"/>
    </row>
    <row r="32" spans="1:22" ht="14.45" customHeight="1">
      <c r="A32" s="36"/>
    </row>
    <row r="33" spans="2:5" ht="14.45" customHeight="1"/>
    <row r="34" spans="2:5" ht="15" customHeight="1"/>
    <row r="35" spans="2:5" ht="14.45" customHeight="1"/>
    <row r="36" spans="2:5" ht="14.45" customHeight="1"/>
    <row r="37" spans="2:5" ht="14.45" customHeight="1"/>
    <row r="38" spans="2:5" ht="15" customHeight="1"/>
    <row r="39" spans="2:5" ht="15" customHeight="1"/>
    <row r="40" spans="2:5" ht="15" customHeight="1"/>
    <row r="41" spans="2:5" ht="15.75" customHeight="1"/>
    <row r="42" spans="2:5" ht="15" customHeight="1"/>
    <row r="43" spans="2:5" ht="15" customHeight="1">
      <c r="B43" s="36"/>
      <c r="C43" s="36"/>
      <c r="D43" s="49"/>
    </row>
    <row r="44" spans="2:5" ht="15" customHeight="1">
      <c r="E44" s="149"/>
    </row>
    <row r="45" spans="2:5" ht="15" customHeight="1">
      <c r="E45" s="34"/>
    </row>
    <row r="46" spans="2:5" ht="15.75" customHeight="1">
      <c r="E46" s="34"/>
    </row>
    <row r="47" spans="2:5" ht="15" customHeight="1">
      <c r="E47" s="34"/>
    </row>
    <row r="48" spans="2:5" ht="15" customHeight="1">
      <c r="E48" s="34"/>
    </row>
    <row r="49" spans="5:5" ht="15" customHeight="1">
      <c r="E49" s="34"/>
    </row>
    <row r="50" spans="5:5" ht="15.75" customHeight="1"/>
  </sheetData>
  <sheetProtection password="9993" sheet="1" objects="1" scenarios="1" formatCells="0" formatColumns="0" formatRows="0"/>
  <dataConsolidate/>
  <mergeCells count="16">
    <mergeCell ref="Z14:AB14"/>
    <mergeCell ref="F4:H4"/>
    <mergeCell ref="G5:H5"/>
    <mergeCell ref="G6:H6"/>
    <mergeCell ref="G7:H7"/>
    <mergeCell ref="G8:H8"/>
    <mergeCell ref="L8:L11"/>
    <mergeCell ref="M8:M11"/>
    <mergeCell ref="N8:N11"/>
    <mergeCell ref="G9:H9"/>
    <mergeCell ref="F11:H11"/>
    <mergeCell ref="B3:H3"/>
    <mergeCell ref="J3:K3"/>
    <mergeCell ref="J1:N1"/>
    <mergeCell ref="B1:H1"/>
    <mergeCell ref="G12:H12"/>
  </mergeCells>
  <conditionalFormatting sqref="D5 D18 D23 H22 H17">
    <cfRule type="cellIs" dxfId="0" priority="1" stopIfTrue="1" operator="notEqual">
      <formula>1</formula>
    </cfRule>
  </conditionalFormatting>
  <hyperlinks>
    <hyperlink ref="N4" location="'M1Energy Handled '!A1" display="M1Energy Handled"/>
    <hyperlink ref="N5" location="M2DF!A1" display="M2DF"/>
    <hyperlink ref="N6" location="M3SM!A1" display="M3SM"/>
    <hyperlink ref="N7" location="M4PP!A1" display="M4PP"/>
    <hyperlink ref="N8" location="M5Current!A1" display="M5Current"/>
  </hyperlink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70C0"/>
  </sheetPr>
  <dimension ref="A1:AD63"/>
  <sheetViews>
    <sheetView showGridLines="0" zoomScale="80" zoomScaleNormal="80" workbookViewId="0">
      <selection activeCell="T32" sqref="T32"/>
    </sheetView>
  </sheetViews>
  <sheetFormatPr defaultColWidth="8.85546875" defaultRowHeight="15"/>
  <cols>
    <col min="1" max="1" width="2" style="1" customWidth="1"/>
    <col min="2" max="2" width="4" style="1" customWidth="1"/>
    <col min="3" max="3" width="33.28515625" style="2" customWidth="1"/>
    <col min="4" max="4" width="6.42578125" style="3" customWidth="1"/>
    <col min="5" max="5" width="8.7109375" style="1" customWidth="1"/>
    <col min="6" max="6" width="3.140625" style="1" customWidth="1"/>
    <col min="7" max="7" width="4" style="1" customWidth="1"/>
    <col min="8" max="8" width="25.42578125" style="1" customWidth="1"/>
    <col min="9" max="9" width="6.140625" style="1" customWidth="1"/>
    <col min="10" max="10" width="7.85546875" style="1" customWidth="1"/>
    <col min="11" max="11" width="3" style="1" customWidth="1"/>
    <col min="12" max="12" width="9.7109375" style="1" customWidth="1"/>
    <col min="13" max="13" width="10" style="209" customWidth="1"/>
    <col min="14" max="14" width="10.5703125" style="209" customWidth="1"/>
    <col min="15" max="15" width="12.5703125" style="209" customWidth="1"/>
    <col min="16" max="16" width="14.42578125" style="209" customWidth="1"/>
    <col min="17" max="17" width="3.140625" style="1" customWidth="1"/>
    <col min="18" max="18" width="9.28515625" style="1" customWidth="1"/>
    <col min="19" max="19" width="10.28515625" style="195" customWidth="1"/>
    <col min="20" max="20" width="10.5703125" style="195" customWidth="1"/>
    <col min="21" max="21" width="11.140625" style="195" customWidth="1"/>
    <col min="22" max="22" width="10.140625" style="195" customWidth="1"/>
    <col min="23" max="23" width="10.42578125" style="195" customWidth="1"/>
    <col min="24" max="24" width="14.28515625" style="195" customWidth="1"/>
    <col min="25" max="25" width="13" customWidth="1"/>
    <col min="26" max="26" width="13.140625" bestFit="1" customWidth="1"/>
    <col min="27" max="27" width="13" customWidth="1"/>
    <col min="28" max="28" width="10.140625" customWidth="1"/>
    <col min="29" max="29" width="10.85546875" bestFit="1" customWidth="1"/>
    <col min="30" max="30" width="12.42578125" customWidth="1"/>
    <col min="31" max="31" width="16.140625" customWidth="1"/>
    <col min="32" max="32" width="9.140625" customWidth="1"/>
    <col min="33" max="33" width="9.85546875" customWidth="1"/>
    <col min="34" max="34" width="14.140625" customWidth="1"/>
    <col min="35" max="35" width="18.42578125" customWidth="1"/>
    <col min="36" max="36" width="13.85546875" customWidth="1"/>
  </cols>
  <sheetData>
    <row r="1" spans="1:24">
      <c r="B1" s="417" t="s">
        <v>136</v>
      </c>
      <c r="C1" s="417"/>
      <c r="D1" s="417"/>
      <c r="E1" s="417"/>
      <c r="F1" s="417"/>
      <c r="G1" s="417"/>
      <c r="H1" s="417"/>
      <c r="I1" s="417"/>
      <c r="J1" s="417"/>
      <c r="L1" s="419" t="s">
        <v>137</v>
      </c>
      <c r="M1" s="419"/>
      <c r="N1" s="419"/>
      <c r="O1" s="419"/>
      <c r="P1" s="419"/>
      <c r="R1" s="418" t="s">
        <v>140</v>
      </c>
      <c r="S1" s="418"/>
      <c r="T1" s="418"/>
      <c r="U1" s="418"/>
      <c r="V1" s="418"/>
      <c r="W1" s="418"/>
      <c r="X1" s="418"/>
    </row>
    <row r="2" spans="1:24">
      <c r="L2"/>
      <c r="M2" s="196"/>
      <c r="N2" s="196"/>
      <c r="O2" s="196"/>
      <c r="P2" s="196"/>
      <c r="Q2"/>
      <c r="R2"/>
      <c r="X2" s="189"/>
    </row>
    <row r="3" spans="1:24" s="6" customFormat="1" ht="15" customHeight="1">
      <c r="A3" s="4"/>
      <c r="B3" s="411" t="s">
        <v>0</v>
      </c>
      <c r="C3" s="412"/>
      <c r="D3" s="412"/>
      <c r="E3" s="413"/>
      <c r="F3" s="5"/>
      <c r="G3" s="411" t="s">
        <v>1</v>
      </c>
      <c r="H3" s="412"/>
      <c r="I3" s="412"/>
      <c r="J3" s="413"/>
      <c r="K3" s="4"/>
      <c r="L3" s="421" t="s">
        <v>138</v>
      </c>
      <c r="M3" s="422"/>
      <c r="N3" s="422"/>
      <c r="O3" s="422"/>
      <c r="P3" s="423"/>
      <c r="Q3"/>
      <c r="R3" s="411" t="s">
        <v>172</v>
      </c>
      <c r="S3" s="424"/>
      <c r="T3" s="424"/>
      <c r="U3" s="424"/>
      <c r="V3" s="424"/>
      <c r="W3" s="424"/>
      <c r="X3" s="413"/>
    </row>
    <row r="4" spans="1:24" s="6" customFormat="1">
      <c r="A4" s="4"/>
      <c r="B4" s="89"/>
      <c r="C4" s="78" t="s">
        <v>2</v>
      </c>
      <c r="D4" s="79" t="s">
        <v>3</v>
      </c>
      <c r="E4" s="80" t="s">
        <v>4</v>
      </c>
      <c r="F4" s="7"/>
      <c r="G4" s="269"/>
      <c r="H4" s="130" t="s">
        <v>2</v>
      </c>
      <c r="I4" s="131" t="s">
        <v>3</v>
      </c>
      <c r="J4" s="132" t="s">
        <v>4</v>
      </c>
      <c r="K4" s="4"/>
      <c r="L4" s="225" t="s">
        <v>5</v>
      </c>
      <c r="M4" s="197" t="s">
        <v>146</v>
      </c>
      <c r="N4" s="197" t="s">
        <v>52</v>
      </c>
      <c r="O4" s="198" t="s">
        <v>6</v>
      </c>
      <c r="P4" s="199" t="s">
        <v>15</v>
      </c>
      <c r="Q4" s="8"/>
      <c r="R4" s="399" t="s">
        <v>31</v>
      </c>
      <c r="S4" s="401" t="s">
        <v>12</v>
      </c>
      <c r="T4" s="396"/>
      <c r="U4" s="401" t="s">
        <v>101</v>
      </c>
      <c r="V4" s="396"/>
      <c r="W4" s="401" t="s">
        <v>61</v>
      </c>
      <c r="X4" s="396"/>
    </row>
    <row r="5" spans="1:24" s="6" customFormat="1" ht="15" customHeight="1">
      <c r="A5" s="4"/>
      <c r="B5" s="403" t="s">
        <v>7</v>
      </c>
      <c r="C5" s="81" t="s">
        <v>8</v>
      </c>
      <c r="D5" s="82" t="s">
        <v>9</v>
      </c>
      <c r="E5" s="220">
        <f>(SUM(E6:E9))</f>
        <v>40781.80747960123</v>
      </c>
      <c r="F5" s="9"/>
      <c r="G5" s="403" t="s">
        <v>63</v>
      </c>
      <c r="H5" s="107" t="s">
        <v>62</v>
      </c>
      <c r="I5" s="108" t="s">
        <v>9</v>
      </c>
      <c r="J5" s="187">
        <f>SUM(J6:J8)</f>
        <v>61317.845101579762</v>
      </c>
      <c r="K5" s="10"/>
      <c r="L5" s="116" t="s">
        <v>10</v>
      </c>
      <c r="M5" s="200">
        <f>'Input &amp; Results'!C7</f>
        <v>36358.703999999998</v>
      </c>
      <c r="N5" s="200">
        <f>'Input &amp; Results'!C10</f>
        <v>425.24799999999999</v>
      </c>
      <c r="O5" s="200">
        <f>'Input &amp; Results'!C13</f>
        <v>956.80799999999999</v>
      </c>
      <c r="P5" s="201">
        <f>((X16*('Input &amp; Results'!H23/('Input &amp; Results'!H23+'Input &amp; Results'!H24)))/(1-'Input &amp; Results'!G5))/(1-'Input &amp; Results'!G6)</f>
        <v>3041.0474796012354</v>
      </c>
      <c r="Q5"/>
      <c r="R5" s="400"/>
      <c r="S5" s="228" t="s">
        <v>59</v>
      </c>
      <c r="T5" s="229" t="s">
        <v>60</v>
      </c>
      <c r="U5" s="228" t="s">
        <v>59</v>
      </c>
      <c r="V5" s="229" t="s">
        <v>60</v>
      </c>
      <c r="W5" s="228" t="s">
        <v>59</v>
      </c>
      <c r="X5" s="229" t="s">
        <v>60</v>
      </c>
    </row>
    <row r="6" spans="1:24" s="6" customFormat="1" ht="20.25" customHeight="1">
      <c r="A6" s="4"/>
      <c r="B6" s="404"/>
      <c r="C6" s="83" t="s">
        <v>163</v>
      </c>
      <c r="D6" s="13" t="s">
        <v>9</v>
      </c>
      <c r="E6" s="174">
        <f>'Input &amp; Results'!C7</f>
        <v>36358.703999999998</v>
      </c>
      <c r="F6" s="9"/>
      <c r="G6" s="404"/>
      <c r="H6" s="109" t="s">
        <v>12</v>
      </c>
      <c r="I6" s="14" t="s">
        <v>9</v>
      </c>
      <c r="J6" s="177">
        <f>'Input &amp; Results'!C22</f>
        <v>58037.845101579762</v>
      </c>
      <c r="K6" s="4"/>
      <c r="L6" s="116" t="s">
        <v>13</v>
      </c>
      <c r="M6" s="200">
        <f>'Input &amp; Results'!C8</f>
        <v>59322.096000000005</v>
      </c>
      <c r="N6" s="200">
        <f>'Input &amp; Results'!C11</f>
        <v>637.87200000000018</v>
      </c>
      <c r="O6" s="200">
        <f>'Input &amp; Results'!C14</f>
        <v>6410.6136000000006</v>
      </c>
      <c r="P6" s="201">
        <f>(X16*('Input &amp; Results'!H24/('Input &amp; Results'!H23+'Input &amp; Results'!H24)))/(1-'Input &amp; Results'!G6)</f>
        <v>3798.0945278802506</v>
      </c>
      <c r="Q6" s="33"/>
      <c r="R6" s="260" t="s">
        <v>63</v>
      </c>
      <c r="S6" s="210">
        <f>(O9*(1-'Input &amp; Results'!G9))*('Input &amp; Results'!C22/('Input &amp; Results'!C22+'Input &amp; Results'!C27))</f>
        <v>384.33463715318612</v>
      </c>
      <c r="T6" s="191">
        <f>'Input &amp; Results'!C22-S6</f>
        <v>57653.510464426574</v>
      </c>
      <c r="U6" s="210">
        <f>(O9*(1-'Input &amp; Results'!G9))*('Input &amp; Results'!C27/('Input &amp; Results'!C22+'Input &amp; Results'!C27))</f>
        <v>21.720613638498737</v>
      </c>
      <c r="V6" s="191">
        <f>'Input &amp; Results'!C27-U6</f>
        <v>3258.2793863615011</v>
      </c>
      <c r="W6" s="210">
        <f>'Input &amp; Results'!H27*'Input &amp; Results'!G17</f>
        <v>0</v>
      </c>
      <c r="X6" s="191">
        <f>'Input &amp; Results'!G21-W6</f>
        <v>0</v>
      </c>
    </row>
    <row r="7" spans="1:24" s="6" customFormat="1">
      <c r="A7" s="4"/>
      <c r="B7" s="404"/>
      <c r="C7" s="84" t="s">
        <v>114</v>
      </c>
      <c r="D7" s="15" t="s">
        <v>9</v>
      </c>
      <c r="E7" s="175">
        <f>'Input &amp; Results'!C13</f>
        <v>956.80799999999999</v>
      </c>
      <c r="F7" s="9"/>
      <c r="G7" s="404"/>
      <c r="H7" s="109" t="s">
        <v>15</v>
      </c>
      <c r="I7" s="14" t="s">
        <v>9</v>
      </c>
      <c r="J7" s="188">
        <f>'Input &amp; Results'!G21</f>
        <v>0</v>
      </c>
      <c r="K7" s="4"/>
      <c r="L7" s="117" t="s">
        <v>11</v>
      </c>
      <c r="M7" s="200">
        <v>0</v>
      </c>
      <c r="N7" s="200">
        <v>0</v>
      </c>
      <c r="O7" s="200">
        <f>'Input &amp; Results'!C15</f>
        <v>956.80799999999999</v>
      </c>
      <c r="P7" s="201">
        <f>W15</f>
        <v>2738.8689799143503</v>
      </c>
      <c r="Q7"/>
      <c r="R7" s="260" t="s">
        <v>23</v>
      </c>
      <c r="S7" s="210">
        <f>(O8*(1-'Input &amp; Results'!G8))*('Input &amp; Results'!C21/('Input &amp; Results'!C21+'Input &amp; Results'!C26))</f>
        <v>664.06633626414578</v>
      </c>
      <c r="T7" s="191">
        <f>'Input &amp; Results'!C21-S7</f>
        <v>8886.4651361477136</v>
      </c>
      <c r="U7" s="210">
        <f>(O8*(1-'Input &amp; Results'!G8))*('Input &amp; Results'!C26/('Input &amp; Results'!C26+'Input &amp; Results'!C21))</f>
        <v>39.911294791991224</v>
      </c>
      <c r="V7" s="191">
        <f>'Input &amp; Results'!C26-U7</f>
        <v>534.08870520800883</v>
      </c>
      <c r="W7" s="210">
        <f>'Input &amp; Results'!H26*'Input &amp; Results'!G17</f>
        <v>990</v>
      </c>
      <c r="X7" s="191">
        <f>'Input &amp; Results'!G20-W7</f>
        <v>990</v>
      </c>
    </row>
    <row r="8" spans="1:24" s="6" customFormat="1">
      <c r="A8" s="4"/>
      <c r="B8" s="404"/>
      <c r="C8" s="133" t="s">
        <v>164</v>
      </c>
      <c r="D8" s="13" t="s">
        <v>17</v>
      </c>
      <c r="E8" s="174">
        <f>'Input &amp; Results'!C10</f>
        <v>425.24799999999999</v>
      </c>
      <c r="F8" s="9"/>
      <c r="G8" s="404"/>
      <c r="H8" s="109" t="s">
        <v>18</v>
      </c>
      <c r="I8" s="14" t="s">
        <v>9</v>
      </c>
      <c r="J8" s="177">
        <f>'Input &amp; Results'!C27</f>
        <v>3280</v>
      </c>
      <c r="K8" s="4"/>
      <c r="L8" s="117" t="s">
        <v>14</v>
      </c>
      <c r="M8" s="200">
        <v>0</v>
      </c>
      <c r="N8" s="200">
        <v>0</v>
      </c>
      <c r="O8" s="200">
        <f>'Input &amp; Results'!C16</f>
        <v>765.44640000000004</v>
      </c>
      <c r="P8" s="201">
        <f>W14</f>
        <v>1076.4432029795157</v>
      </c>
      <c r="Q8"/>
      <c r="R8" s="260" t="s">
        <v>29</v>
      </c>
      <c r="S8" s="210">
        <f>(O7*(1-'Input &amp; Results'!G7))*'Input &amp; Results'!C20/('Input &amp; Results'!C20+'Input &amp; Results'!C25)</f>
        <v>858.16116703778096</v>
      </c>
      <c r="T8" s="191">
        <f>'Input &amp; Results'!C20-S8</f>
        <v>4284.4327027224517</v>
      </c>
      <c r="U8" s="210">
        <f>(O7*(1-'Input &amp; Results'!G7))*('Input &amp; Results'!C25/('Input &amp; Results'!C20+'Input &amp; Results'!C25))</f>
        <v>41.050810629371512</v>
      </c>
      <c r="V8" s="191">
        <f>'Input &amp; Results'!C25-U8</f>
        <v>204.94918937062849</v>
      </c>
      <c r="W8" s="210">
        <f>'Input &amp; Results'!H25*'Input &amp; Results'!$G$17</f>
        <v>2574</v>
      </c>
      <c r="X8" s="191">
        <f>'Input &amp; Results'!G19-W8</f>
        <v>396</v>
      </c>
    </row>
    <row r="9" spans="1:24" s="6" customFormat="1">
      <c r="A9" s="4"/>
      <c r="B9" s="404"/>
      <c r="C9" s="85" t="s">
        <v>145</v>
      </c>
      <c r="D9" s="16" t="s">
        <v>17</v>
      </c>
      <c r="E9" s="176">
        <f>P5</f>
        <v>3041.0474796012354</v>
      </c>
      <c r="F9" s="9"/>
      <c r="G9" s="404"/>
      <c r="H9" s="110" t="s">
        <v>64</v>
      </c>
      <c r="I9" s="14" t="s">
        <v>9</v>
      </c>
      <c r="J9" s="177">
        <f>S20+T20+U20+V20+W20+X20</f>
        <v>10925.28513939699</v>
      </c>
      <c r="K9" s="4"/>
      <c r="L9" s="117" t="s">
        <v>55</v>
      </c>
      <c r="M9" s="200">
        <v>0</v>
      </c>
      <c r="N9" s="200">
        <v>0</v>
      </c>
      <c r="O9" s="200">
        <f>'Input &amp; Results'!C17</f>
        <v>478.404</v>
      </c>
      <c r="P9" s="201">
        <f>W13</f>
        <v>0</v>
      </c>
      <c r="Q9"/>
      <c r="R9" s="260" t="s">
        <v>35</v>
      </c>
      <c r="S9" s="231" t="s">
        <v>56</v>
      </c>
      <c r="T9" s="191">
        <f>'Input &amp; Results'!C19</f>
        <v>734.65626710860454</v>
      </c>
      <c r="U9" s="231" t="s">
        <v>56</v>
      </c>
      <c r="V9" s="191">
        <f>'Input &amp; Results'!C24</f>
        <v>0</v>
      </c>
      <c r="W9" s="210">
        <v>0</v>
      </c>
      <c r="X9" s="191">
        <f>'Input &amp; Results'!G18-W9</f>
        <v>4950</v>
      </c>
    </row>
    <row r="10" spans="1:24" s="6" customFormat="1" ht="20.25" customHeight="1">
      <c r="A10" s="4"/>
      <c r="B10" s="404"/>
      <c r="C10" s="86" t="s">
        <v>168</v>
      </c>
      <c r="D10" s="17" t="s">
        <v>20</v>
      </c>
      <c r="E10" s="75">
        <f>'Input &amp; Results'!G5</f>
        <v>2.86E-2</v>
      </c>
      <c r="F10" s="9"/>
      <c r="G10" s="404"/>
      <c r="H10" s="86" t="s">
        <v>162</v>
      </c>
      <c r="I10" s="17" t="s">
        <v>20</v>
      </c>
      <c r="J10" s="75">
        <f>J9/J11</f>
        <v>0.15122939860100498</v>
      </c>
      <c r="K10" s="4"/>
      <c r="L10" s="119" t="s">
        <v>21</v>
      </c>
      <c r="M10" s="200">
        <f>M5+M6+M7+M8+M9</f>
        <v>95680.8</v>
      </c>
      <c r="N10" s="200">
        <f>N5+N6+N7+N8+N9</f>
        <v>1063.1200000000001</v>
      </c>
      <c r="O10" s="200">
        <f>O5+O6+O7+O8+O9</f>
        <v>9568.0800000000017</v>
      </c>
      <c r="P10" s="201">
        <f>P5+P6+P7+P8+P9</f>
        <v>10654.454190375351</v>
      </c>
      <c r="Q10" s="33"/>
      <c r="R10" s="261" t="s">
        <v>21</v>
      </c>
      <c r="S10" s="211">
        <f>S6+S7+S8</f>
        <v>1906.562140455113</v>
      </c>
      <c r="T10" s="193">
        <f>T6+T7+T8+T9</f>
        <v>71559.064570405331</v>
      </c>
      <c r="U10" s="211">
        <f>U6+U7+U8</f>
        <v>102.68271905986147</v>
      </c>
      <c r="V10" s="193">
        <f>V6+V7+V8+V9</f>
        <v>3997.3172809401385</v>
      </c>
      <c r="W10" s="211">
        <f>W6+W7+W8+W9</f>
        <v>3564</v>
      </c>
      <c r="X10" s="193">
        <f>X6+X7+X8+X9</f>
        <v>6336</v>
      </c>
    </row>
    <row r="11" spans="1:24" s="6" customFormat="1" ht="15" customHeight="1">
      <c r="A11" s="4"/>
      <c r="B11" s="404"/>
      <c r="C11" s="87" t="s">
        <v>169</v>
      </c>
      <c r="D11" s="19" t="s">
        <v>9</v>
      </c>
      <c r="E11" s="178">
        <f>E10*E5</f>
        <v>1166.3596939165952</v>
      </c>
      <c r="F11" s="9"/>
      <c r="G11" s="405"/>
      <c r="H11" s="111" t="s">
        <v>65</v>
      </c>
      <c r="I11" s="98" t="s">
        <v>9</v>
      </c>
      <c r="J11" s="222">
        <f>J5+J9</f>
        <v>72243.130240976752</v>
      </c>
      <c r="K11" s="10"/>
      <c r="L11" s="224" t="s">
        <v>22</v>
      </c>
      <c r="M11" s="202" t="s">
        <v>146</v>
      </c>
      <c r="N11" s="202" t="s">
        <v>52</v>
      </c>
      <c r="O11" s="203" t="s">
        <v>6</v>
      </c>
      <c r="P11" s="204" t="s">
        <v>15</v>
      </c>
      <c r="Q11"/>
      <c r="R11" s="399" t="s">
        <v>36</v>
      </c>
      <c r="S11" s="401" t="s">
        <v>12</v>
      </c>
      <c r="T11" s="396"/>
      <c r="U11" s="401" t="s">
        <v>101</v>
      </c>
      <c r="V11" s="396"/>
      <c r="W11" s="395" t="s">
        <v>61</v>
      </c>
      <c r="X11" s="396"/>
    </row>
    <row r="12" spans="1:24" s="6" customFormat="1" ht="15.95" customHeight="1">
      <c r="A12" s="4"/>
      <c r="B12" s="405"/>
      <c r="C12" s="88" t="s">
        <v>66</v>
      </c>
      <c r="D12" s="77" t="s">
        <v>9</v>
      </c>
      <c r="E12" s="221">
        <f>E5-E11</f>
        <v>39615.447785684635</v>
      </c>
      <c r="F12" s="9"/>
      <c r="G12" s="403" t="s">
        <v>23</v>
      </c>
      <c r="H12" s="112" t="s">
        <v>24</v>
      </c>
      <c r="I12" s="99" t="s">
        <v>9</v>
      </c>
      <c r="J12" s="187">
        <f>SUM(J13:J15)</f>
        <v>12104.53147241186</v>
      </c>
      <c r="K12" s="10"/>
      <c r="L12" s="116" t="s">
        <v>10</v>
      </c>
      <c r="M12" s="200">
        <f>M5*'Input &amp; Results'!G5</f>
        <v>1039.8589344</v>
      </c>
      <c r="N12" s="200">
        <f>N5*'Input &amp; Results'!G5</f>
        <v>12.1620928</v>
      </c>
      <c r="O12" s="200">
        <f>O5*'Input &amp; Results'!G5</f>
        <v>27.364708799999999</v>
      </c>
      <c r="P12" s="201">
        <f>P5*'Input &amp; Results'!G5</f>
        <v>86.973957916595339</v>
      </c>
      <c r="Q12" s="33"/>
      <c r="R12" s="400"/>
      <c r="S12" s="228" t="s">
        <v>59</v>
      </c>
      <c r="T12" s="229" t="s">
        <v>60</v>
      </c>
      <c r="U12" s="228" t="s">
        <v>59</v>
      </c>
      <c r="V12" s="229" t="s">
        <v>60</v>
      </c>
      <c r="W12" s="230" t="s">
        <v>59</v>
      </c>
      <c r="X12" s="229" t="s">
        <v>60</v>
      </c>
    </row>
    <row r="13" spans="1:24" s="6" customFormat="1" ht="15.95" customHeight="1">
      <c r="A13" s="4"/>
      <c r="B13" s="403" t="s">
        <v>25</v>
      </c>
      <c r="C13" s="81" t="s">
        <v>26</v>
      </c>
      <c r="D13" s="82" t="s">
        <v>9</v>
      </c>
      <c r="E13" s="220">
        <f>SUM(E14:E17)</f>
        <v>70168.676127880259</v>
      </c>
      <c r="F13" s="9"/>
      <c r="G13" s="404"/>
      <c r="H13" s="30" t="s">
        <v>12</v>
      </c>
      <c r="I13" s="14" t="s">
        <v>9</v>
      </c>
      <c r="J13" s="177">
        <f>'Input &amp; Results'!C21</f>
        <v>9550.5314724118598</v>
      </c>
      <c r="K13" s="4"/>
      <c r="L13" s="116" t="s">
        <v>13</v>
      </c>
      <c r="M13" s="200">
        <f>(M5+M6-M12)*'Input &amp; Results'!G6</f>
        <v>3299.6293878508732</v>
      </c>
      <c r="N13" s="200">
        <f>(N5+N6-N12)*'Input &amp; Results'!G6</f>
        <v>36.641347359254368</v>
      </c>
      <c r="O13" s="200">
        <f>(O5+O6-O12)*'Input &amp; Results'!G6</f>
        <v>255.90898773833209</v>
      </c>
      <c r="P13" s="201">
        <f>(P6+P5-P12)*'Input &amp; Results'!G6</f>
        <v>235.41241113197481</v>
      </c>
      <c r="Q13" s="33"/>
      <c r="R13" s="262" t="s">
        <v>63</v>
      </c>
      <c r="S13" s="210">
        <f>S6/(1-'Input &amp; Results'!G9)</f>
        <v>452.81332378819729</v>
      </c>
      <c r="T13" s="191">
        <f>T6/(1-'Input &amp; Results'!G9)</f>
        <v>67925.904089277567</v>
      </c>
      <c r="U13" s="210">
        <f>U6/(1-'Input &amp; Results'!G9)</f>
        <v>25.590676211802702</v>
      </c>
      <c r="V13" s="191">
        <f>V6/(1-'Input &amp; Results'!G9)</f>
        <v>3838.8221516991844</v>
      </c>
      <c r="W13" s="190">
        <f>W6/(1-'Input &amp; Results'!G9)</f>
        <v>0</v>
      </c>
      <c r="X13" s="191">
        <f>X6/(1-'Input &amp; Results'!G9)</f>
        <v>0</v>
      </c>
    </row>
    <row r="14" spans="1:24" s="6" customFormat="1">
      <c r="A14" s="4"/>
      <c r="B14" s="404"/>
      <c r="C14" s="83" t="s">
        <v>163</v>
      </c>
      <c r="D14" s="13" t="s">
        <v>9</v>
      </c>
      <c r="E14" s="174">
        <f>'Input &amp; Results'!C8</f>
        <v>59322.096000000005</v>
      </c>
      <c r="F14" s="9"/>
      <c r="G14" s="404"/>
      <c r="H14" s="30" t="s">
        <v>15</v>
      </c>
      <c r="I14" s="14" t="s">
        <v>9</v>
      </c>
      <c r="J14" s="188">
        <f>'Input &amp; Results'!G20</f>
        <v>1980</v>
      </c>
      <c r="K14" s="4"/>
      <c r="L14" s="118" t="s">
        <v>21</v>
      </c>
      <c r="M14" s="205">
        <f>M12+M13</f>
        <v>4339.4883222508734</v>
      </c>
      <c r="N14" s="205">
        <f>N12+N13</f>
        <v>48.803440159254365</v>
      </c>
      <c r="O14" s="205">
        <f>O12+O13</f>
        <v>283.2736965383321</v>
      </c>
      <c r="P14" s="206">
        <f>P12+P13</f>
        <v>322.38636904857015</v>
      </c>
      <c r="Q14" s="33"/>
      <c r="R14" s="262" t="s">
        <v>23</v>
      </c>
      <c r="S14" s="210">
        <f>S7/(1-'Input &amp; Results'!G8)</f>
        <v>722.05019595863564</v>
      </c>
      <c r="T14" s="191">
        <f>(T13+T7)/(1-'Input &amp; Results'!G8)</f>
        <v>83519.346219658561</v>
      </c>
      <c r="U14" s="210">
        <f>U7/(1-'Input &amp; Results'!G8)</f>
        <v>43.396204041364349</v>
      </c>
      <c r="V14" s="191">
        <f>(V13+V7)/(1-'Input &amp; Results'!G8)</f>
        <v>4754.7375445990692</v>
      </c>
      <c r="W14" s="190">
        <f>W7/(1-'Input &amp; Results'!G8)</f>
        <v>1076.4432029795157</v>
      </c>
      <c r="X14" s="191">
        <f>(X13+X7)/(1-'Input &amp; Results'!G8)</f>
        <v>1076.4432029795157</v>
      </c>
    </row>
    <row r="15" spans="1:24" s="6" customFormat="1" ht="14.45" customHeight="1">
      <c r="A15" s="4"/>
      <c r="B15" s="404"/>
      <c r="C15" s="84" t="s">
        <v>114</v>
      </c>
      <c r="D15" s="15" t="s">
        <v>9</v>
      </c>
      <c r="E15" s="175">
        <f>'Input &amp; Results'!C14</f>
        <v>6410.6136000000006</v>
      </c>
      <c r="G15" s="404"/>
      <c r="H15" s="30" t="s">
        <v>18</v>
      </c>
      <c r="I15" s="14" t="s">
        <v>9</v>
      </c>
      <c r="J15" s="177">
        <f>'Input &amp; Results'!C26</f>
        <v>574</v>
      </c>
      <c r="K15" s="4"/>
      <c r="L15" s="24"/>
      <c r="M15" s="207"/>
      <c r="N15" s="207"/>
      <c r="O15" s="207"/>
      <c r="P15" s="207"/>
      <c r="Q15" s="33"/>
      <c r="R15" s="262" t="s">
        <v>29</v>
      </c>
      <c r="S15" s="210">
        <f>S8/(1-'Input &amp; Results'!G7)</f>
        <v>913.12781669264791</v>
      </c>
      <c r="T15" s="191">
        <f>(T14+T8)/(1-'Input &amp; Results'!G7)</f>
        <v>93427.756957951366</v>
      </c>
      <c r="U15" s="210">
        <f>U8/(1-'Input &amp; Results'!G7)</f>
        <v>43.680183307351953</v>
      </c>
      <c r="V15" s="191">
        <f>(V14+V8)/(1-'Input &amp; Results'!G7)</f>
        <v>5277.3629159915781</v>
      </c>
      <c r="W15" s="190">
        <f>W8/(1-'Input &amp; Results'!G7)</f>
        <v>2738.8689799143503</v>
      </c>
      <c r="X15" s="191">
        <f>(X14+X8)/(1-'Input &amp; Results'!G7)</f>
        <v>1566.7556384329157</v>
      </c>
    </row>
    <row r="16" spans="1:24" s="6" customFormat="1" ht="15.95" customHeight="1">
      <c r="A16" s="4"/>
      <c r="B16" s="404"/>
      <c r="C16" s="133" t="s">
        <v>164</v>
      </c>
      <c r="D16" s="13" t="s">
        <v>9</v>
      </c>
      <c r="E16" s="174">
        <f>'Input &amp; Results'!C11</f>
        <v>637.87200000000018</v>
      </c>
      <c r="G16" s="404"/>
      <c r="H16" s="22" t="s">
        <v>27</v>
      </c>
      <c r="I16" s="14" t="s">
        <v>9</v>
      </c>
      <c r="J16" s="177">
        <f>S21+T21+U21+V21+W21+X21</f>
        <v>7323.1588568280513</v>
      </c>
      <c r="K16" s="4"/>
      <c r="L16" s="421" t="s">
        <v>139</v>
      </c>
      <c r="M16" s="422"/>
      <c r="N16" s="422"/>
      <c r="O16" s="422"/>
      <c r="P16" s="423"/>
      <c r="Q16" s="24"/>
      <c r="R16" s="262" t="s">
        <v>35</v>
      </c>
      <c r="S16" s="231" t="s">
        <v>56</v>
      </c>
      <c r="T16" s="191">
        <f>T15+T9</f>
        <v>94162.413225059965</v>
      </c>
      <c r="U16" s="231" t="s">
        <v>56</v>
      </c>
      <c r="V16" s="191">
        <f>V15+V9</f>
        <v>5277.3629159915781</v>
      </c>
      <c r="W16" s="232" t="s">
        <v>56</v>
      </c>
      <c r="X16" s="191">
        <f>X15+X9</f>
        <v>6516.7556384329155</v>
      </c>
    </row>
    <row r="17" spans="1:30" s="6" customFormat="1" ht="18.75" customHeight="1">
      <c r="A17" s="4"/>
      <c r="B17" s="404"/>
      <c r="C17" s="85" t="s">
        <v>145</v>
      </c>
      <c r="D17" s="16" t="s">
        <v>17</v>
      </c>
      <c r="E17" s="176">
        <f>P6</f>
        <v>3798.0945278802506</v>
      </c>
      <c r="G17" s="404"/>
      <c r="H17" s="22" t="s">
        <v>57</v>
      </c>
      <c r="I17" s="22" t="s">
        <v>20</v>
      </c>
      <c r="J17" s="75">
        <f>J16/J18</f>
        <v>7.9885385679718715E-2</v>
      </c>
      <c r="K17" s="4"/>
      <c r="L17" s="226" t="s">
        <v>31</v>
      </c>
      <c r="M17" s="202" t="s">
        <v>12</v>
      </c>
      <c r="N17" s="202" t="s">
        <v>32</v>
      </c>
      <c r="O17" s="203" t="s">
        <v>61</v>
      </c>
      <c r="P17" s="204" t="s">
        <v>21</v>
      </c>
      <c r="R17" s="263" t="s">
        <v>21</v>
      </c>
      <c r="S17" s="211">
        <f>SUM(S13:S15)</f>
        <v>2087.9913364394806</v>
      </c>
      <c r="T17" s="193">
        <f>SUM(T13:T16)</f>
        <v>339035.42049194744</v>
      </c>
      <c r="U17" s="211">
        <f>SUM(U13:U15)</f>
        <v>112.667063560519</v>
      </c>
      <c r="V17" s="193">
        <f>SUM(V13:V16)</f>
        <v>19148.285528281409</v>
      </c>
      <c r="W17" s="192">
        <f>SUM(W13:W15)</f>
        <v>3815.3121828938661</v>
      </c>
      <c r="X17" s="193">
        <f>SUM(X13:X16)</f>
        <v>9159.9544798453462</v>
      </c>
    </row>
    <row r="18" spans="1:30" s="6" customFormat="1">
      <c r="A18" s="4"/>
      <c r="B18" s="404"/>
      <c r="C18" s="86" t="s">
        <v>170</v>
      </c>
      <c r="D18" s="23" t="s">
        <v>20</v>
      </c>
      <c r="E18" s="75">
        <f>'Input &amp; Results'!G6</f>
        <v>3.4864714474507896E-2</v>
      </c>
      <c r="F18" s="21"/>
      <c r="G18" s="405"/>
      <c r="H18" s="113" t="s">
        <v>28</v>
      </c>
      <c r="I18" s="100" t="s">
        <v>17</v>
      </c>
      <c r="J18" s="222">
        <f>J12+J11+J16</f>
        <v>91670.820570216674</v>
      </c>
      <c r="K18" s="10"/>
      <c r="L18" s="262" t="s">
        <v>63</v>
      </c>
      <c r="M18" s="200">
        <f>S6+T6</f>
        <v>58037.845101579762</v>
      </c>
      <c r="N18" s="200">
        <f>U6+V6</f>
        <v>3280</v>
      </c>
      <c r="O18" s="200">
        <f>W6+X6</f>
        <v>0</v>
      </c>
      <c r="P18" s="201">
        <f>M18+N18+O18</f>
        <v>61317.845101579762</v>
      </c>
      <c r="R18" s="399" t="s">
        <v>22</v>
      </c>
      <c r="S18" s="401" t="s">
        <v>12</v>
      </c>
      <c r="T18" s="396"/>
      <c r="U18" s="401" t="s">
        <v>101</v>
      </c>
      <c r="V18" s="396"/>
      <c r="W18" s="397" t="s">
        <v>61</v>
      </c>
      <c r="X18" s="398"/>
    </row>
    <row r="19" spans="1:30" s="6" customFormat="1" ht="15.95" customHeight="1">
      <c r="A19" s="4"/>
      <c r="B19" s="405"/>
      <c r="C19" s="87" t="s">
        <v>171</v>
      </c>
      <c r="D19" s="17" t="s">
        <v>9</v>
      </c>
      <c r="E19" s="181">
        <f>(E12+E13)*E18</f>
        <v>3827.5921340804343</v>
      </c>
      <c r="F19" s="9"/>
      <c r="G19" s="403" t="s">
        <v>29</v>
      </c>
      <c r="H19" s="112" t="s">
        <v>30</v>
      </c>
      <c r="I19" s="103" t="s">
        <v>9</v>
      </c>
      <c r="J19" s="187">
        <f>SUM(J20:J22)</f>
        <v>8358.5938697602323</v>
      </c>
      <c r="K19" s="10"/>
      <c r="L19" s="262" t="s">
        <v>23</v>
      </c>
      <c r="M19" s="200">
        <f>S7+T7</f>
        <v>9550.5314724118598</v>
      </c>
      <c r="N19" s="200">
        <f>U7+V7</f>
        <v>574</v>
      </c>
      <c r="O19" s="200">
        <f>W7+X7</f>
        <v>1980</v>
      </c>
      <c r="P19" s="201">
        <f>M19+N19+O19</f>
        <v>12104.53147241186</v>
      </c>
      <c r="R19" s="400"/>
      <c r="S19" s="228" t="s">
        <v>59</v>
      </c>
      <c r="T19" s="229" t="s">
        <v>60</v>
      </c>
      <c r="U19" s="228" t="s">
        <v>59</v>
      </c>
      <c r="V19" s="229" t="s">
        <v>60</v>
      </c>
      <c r="W19" s="230" t="s">
        <v>59</v>
      </c>
      <c r="X19" s="229" t="s">
        <v>60</v>
      </c>
    </row>
    <row r="20" spans="1:30" s="6" customFormat="1" ht="15.75" customHeight="1">
      <c r="A20" s="4"/>
      <c r="B20" s="403" t="s">
        <v>11</v>
      </c>
      <c r="C20" s="78" t="s">
        <v>54</v>
      </c>
      <c r="D20" s="92" t="s">
        <v>9</v>
      </c>
      <c r="E20" s="183">
        <f>E21+E22+E23+E24+E25+E26</f>
        <v>6015.9705828938659</v>
      </c>
      <c r="F20" s="9"/>
      <c r="G20" s="404"/>
      <c r="H20" s="30" t="s">
        <v>12</v>
      </c>
      <c r="I20" s="14" t="s">
        <v>9</v>
      </c>
      <c r="J20" s="177">
        <f>'Input &amp; Results'!C20</f>
        <v>5142.5938697602323</v>
      </c>
      <c r="K20" s="4"/>
      <c r="L20" s="262" t="s">
        <v>29</v>
      </c>
      <c r="M20" s="200">
        <f>S8+T8</f>
        <v>5142.5938697602323</v>
      </c>
      <c r="N20" s="200">
        <f>U8+V8</f>
        <v>246</v>
      </c>
      <c r="O20" s="200">
        <f>'Input &amp; Results'!G19</f>
        <v>2970</v>
      </c>
      <c r="P20" s="201">
        <f>M20+N20+O20</f>
        <v>8358.5938697602323</v>
      </c>
      <c r="R20" s="260" t="s">
        <v>63</v>
      </c>
      <c r="S20" s="210">
        <f t="shared" ref="S20:X20" si="0">S13-S6</f>
        <v>68.478686635011172</v>
      </c>
      <c r="T20" s="191">
        <f t="shared" si="0"/>
        <v>10272.393624850993</v>
      </c>
      <c r="U20" s="210">
        <f t="shared" si="0"/>
        <v>3.8700625733039651</v>
      </c>
      <c r="V20" s="191">
        <f t="shared" si="0"/>
        <v>580.54276533768325</v>
      </c>
      <c r="W20" s="190">
        <f t="shared" si="0"/>
        <v>0</v>
      </c>
      <c r="X20" s="191">
        <f t="shared" si="0"/>
        <v>0</v>
      </c>
    </row>
    <row r="21" spans="1:30" s="6" customFormat="1" ht="15" customHeight="1">
      <c r="A21" s="4"/>
      <c r="B21" s="404"/>
      <c r="C21" s="24" t="s">
        <v>147</v>
      </c>
      <c r="D21" s="24" t="s">
        <v>9</v>
      </c>
      <c r="E21" s="181">
        <f>'Input &amp; Results'!C15</f>
        <v>956.80799999999999</v>
      </c>
      <c r="F21" s="25"/>
      <c r="G21" s="404"/>
      <c r="H21" s="30" t="s">
        <v>15</v>
      </c>
      <c r="I21" s="14" t="s">
        <v>9</v>
      </c>
      <c r="J21" s="188">
        <f>'Input &amp; Results'!G19</f>
        <v>2970</v>
      </c>
      <c r="K21" s="4"/>
      <c r="L21" s="262" t="s">
        <v>35</v>
      </c>
      <c r="M21" s="200">
        <f>T9</f>
        <v>734.65626710860454</v>
      </c>
      <c r="N21" s="200">
        <f>V9</f>
        <v>0</v>
      </c>
      <c r="O21" s="200">
        <f>'Input &amp; Results'!G18</f>
        <v>4950</v>
      </c>
      <c r="P21" s="201">
        <f>M21+N21+O21</f>
        <v>5684.6562671086049</v>
      </c>
      <c r="R21" s="260" t="s">
        <v>23</v>
      </c>
      <c r="S21" s="210">
        <f>S14-S7</f>
        <v>57.983859694489865</v>
      </c>
      <c r="T21" s="191">
        <f>T14-T13-T7</f>
        <v>6706.9769942332805</v>
      </c>
      <c r="U21" s="210">
        <f>U14-U7</f>
        <v>3.4849092493731249</v>
      </c>
      <c r="V21" s="191">
        <f>V14-V7-V13</f>
        <v>381.82668769187603</v>
      </c>
      <c r="W21" s="190">
        <f>W14-W7</f>
        <v>86.443202979515718</v>
      </c>
      <c r="X21" s="191">
        <f>X14-X7-X13</f>
        <v>86.443202979515718</v>
      </c>
    </row>
    <row r="22" spans="1:30" s="6" customFormat="1" ht="18.75" customHeight="1">
      <c r="A22" s="4"/>
      <c r="B22" s="405"/>
      <c r="C22" s="93" t="s">
        <v>145</v>
      </c>
      <c r="D22" s="93" t="s">
        <v>9</v>
      </c>
      <c r="E22" s="182">
        <f>P7</f>
        <v>2738.8689799143503</v>
      </c>
      <c r="F22" s="18"/>
      <c r="G22" s="404"/>
      <c r="H22" s="30" t="s">
        <v>18</v>
      </c>
      <c r="I22" s="14" t="s">
        <v>9</v>
      </c>
      <c r="J22" s="177">
        <f>'Input &amp; Results'!C25</f>
        <v>246</v>
      </c>
      <c r="K22" s="4"/>
      <c r="L22" s="263" t="s">
        <v>21</v>
      </c>
      <c r="M22" s="205">
        <f>'Input &amp; Results'!C18</f>
        <v>73465.626710860452</v>
      </c>
      <c r="N22" s="205">
        <f>N21+N20+N19+N18</f>
        <v>4100</v>
      </c>
      <c r="O22" s="205">
        <f>'Input &amp; Results'!G17</f>
        <v>9900</v>
      </c>
      <c r="P22" s="206">
        <f>SUM(P18:P21)</f>
        <v>87465.626710860466</v>
      </c>
      <c r="R22" s="264" t="s">
        <v>29</v>
      </c>
      <c r="S22" s="211">
        <f>S15-S8</f>
        <v>54.966649654866956</v>
      </c>
      <c r="T22" s="193">
        <f>T15-T14-T8</f>
        <v>5623.9780355703533</v>
      </c>
      <c r="U22" s="211">
        <f>U15-U8</f>
        <v>2.6293726779804416</v>
      </c>
      <c r="V22" s="193">
        <f>V15-V8-V14</f>
        <v>317.67618202188078</v>
      </c>
      <c r="W22" s="192">
        <f>W15-W8</f>
        <v>164.86897991435035</v>
      </c>
      <c r="X22" s="193">
        <f>X15-X8-X14</f>
        <v>94.312435453399985</v>
      </c>
    </row>
    <row r="23" spans="1:30" s="6" customFormat="1" ht="15" customHeight="1">
      <c r="A23" s="4"/>
      <c r="B23" s="403" t="s">
        <v>14</v>
      </c>
      <c r="C23" s="155" t="s">
        <v>147</v>
      </c>
      <c r="D23" s="155" t="s">
        <v>9</v>
      </c>
      <c r="E23" s="183">
        <f>'Input &amp; Results'!C16</f>
        <v>765.44640000000004</v>
      </c>
      <c r="F23" s="27"/>
      <c r="G23" s="404"/>
      <c r="H23" s="114" t="s">
        <v>33</v>
      </c>
      <c r="I23" s="28" t="s">
        <v>9</v>
      </c>
      <c r="J23" s="177">
        <f>S22+T22+U22+V22+W22+X22</f>
        <v>6258.4316552928321</v>
      </c>
      <c r="K23" s="4"/>
      <c r="L23" s="226" t="s">
        <v>36</v>
      </c>
      <c r="M23" s="202" t="s">
        <v>12</v>
      </c>
      <c r="N23" s="202" t="s">
        <v>32</v>
      </c>
      <c r="O23" s="203" t="s">
        <v>61</v>
      </c>
      <c r="P23" s="204" t="s">
        <v>21</v>
      </c>
      <c r="S23" s="194"/>
      <c r="T23" s="194"/>
      <c r="U23" s="194"/>
      <c r="V23" s="194"/>
      <c r="W23" s="194"/>
      <c r="X23" s="194"/>
    </row>
    <row r="24" spans="1:30" s="6" customFormat="1" ht="14.25" customHeight="1">
      <c r="A24" s="4"/>
      <c r="B24" s="405"/>
      <c r="C24" s="93" t="s">
        <v>145</v>
      </c>
      <c r="D24" s="93" t="s">
        <v>9</v>
      </c>
      <c r="E24" s="184">
        <f>P8</f>
        <v>1076.4432029795157</v>
      </c>
      <c r="F24" s="29"/>
      <c r="G24" s="404"/>
      <c r="H24" s="22" t="s">
        <v>58</v>
      </c>
      <c r="I24" s="17" t="s">
        <v>20</v>
      </c>
      <c r="J24" s="75">
        <f>J23/J25</f>
        <v>5.8881912515972586E-2</v>
      </c>
      <c r="K24" s="4"/>
      <c r="L24" s="262" t="s">
        <v>63</v>
      </c>
      <c r="M24" s="200">
        <f>S13+T13</f>
        <v>68378.717413065766</v>
      </c>
      <c r="N24" s="200">
        <f>U13+V13</f>
        <v>3864.4128279109873</v>
      </c>
      <c r="O24" s="200">
        <f>W13+X13</f>
        <v>0</v>
      </c>
      <c r="P24" s="201">
        <f>M24+N24+O24</f>
        <v>72243.130240976752</v>
      </c>
      <c r="S24" s="194"/>
      <c r="T24" s="194"/>
      <c r="U24" s="194"/>
      <c r="V24" s="194"/>
      <c r="W24" s="194"/>
      <c r="X24" s="194"/>
      <c r="Y24" s="50"/>
      <c r="Z24" s="21"/>
    </row>
    <row r="25" spans="1:30" s="6" customFormat="1">
      <c r="A25" s="4"/>
      <c r="B25" s="404" t="s">
        <v>16</v>
      </c>
      <c r="C25" s="24" t="s">
        <v>147</v>
      </c>
      <c r="D25" s="16" t="s">
        <v>9</v>
      </c>
      <c r="E25" s="185">
        <f>'Input &amp; Results'!C17</f>
        <v>478.404</v>
      </c>
      <c r="F25" s="24"/>
      <c r="G25" s="405"/>
      <c r="H25" s="115" t="s">
        <v>34</v>
      </c>
      <c r="I25" s="104" t="s">
        <v>17</v>
      </c>
      <c r="J25" s="222">
        <f>J19+J18+J23</f>
        <v>106287.84609526975</v>
      </c>
      <c r="K25" s="10"/>
      <c r="L25" s="262" t="s">
        <v>23</v>
      </c>
      <c r="M25" s="200">
        <f>S14+T14</f>
        <v>84241.396415617201</v>
      </c>
      <c r="N25" s="200">
        <f>U14+V14</f>
        <v>4798.1337486404336</v>
      </c>
      <c r="O25" s="200">
        <f>W14+X14</f>
        <v>2152.8864059590314</v>
      </c>
      <c r="P25" s="201">
        <f>M25+N25+O25</f>
        <v>91192.416570216665</v>
      </c>
      <c r="S25" s="194"/>
      <c r="T25" s="194"/>
      <c r="U25" s="194"/>
      <c r="V25" s="194"/>
      <c r="W25" s="194"/>
      <c r="X25" s="194"/>
      <c r="Z25" s="21"/>
    </row>
    <row r="26" spans="1:30" s="6" customFormat="1" ht="15.75" customHeight="1">
      <c r="A26" s="4"/>
      <c r="B26" s="405"/>
      <c r="C26" s="93" t="s">
        <v>145</v>
      </c>
      <c r="D26" s="76" t="s">
        <v>9</v>
      </c>
      <c r="E26" s="186">
        <f>P9</f>
        <v>0</v>
      </c>
      <c r="F26" s="5"/>
      <c r="G26" s="403" t="s">
        <v>35</v>
      </c>
      <c r="H26" s="101" t="s">
        <v>161</v>
      </c>
      <c r="I26" s="102" t="s">
        <v>17</v>
      </c>
      <c r="J26" s="177">
        <f>SUM(J27:J29)</f>
        <v>5684.6562671086049</v>
      </c>
      <c r="K26" s="4"/>
      <c r="L26" s="262" t="s">
        <v>29</v>
      </c>
      <c r="M26" s="200">
        <f>S15+T15</f>
        <v>94340.884774644015</v>
      </c>
      <c r="N26" s="200">
        <f>U15+V15</f>
        <v>5321.0430992989304</v>
      </c>
      <c r="O26" s="200">
        <f>W15+X15</f>
        <v>4305.6246183472658</v>
      </c>
      <c r="P26" s="201">
        <f>M26+N26+O26</f>
        <v>103967.55249229021</v>
      </c>
      <c r="S26" s="194"/>
      <c r="T26" s="194"/>
      <c r="U26" s="194"/>
      <c r="V26" s="194"/>
      <c r="W26" s="194"/>
      <c r="X26" s="194"/>
    </row>
    <row r="27" spans="1:30" s="6" customFormat="1">
      <c r="A27" s="4"/>
      <c r="B27" s="409"/>
      <c r="C27" s="266" t="s">
        <v>165</v>
      </c>
      <c r="D27" s="47" t="s">
        <v>9</v>
      </c>
      <c r="E27" s="181">
        <f>E12+E13-E19+E20</f>
        <v>111972.50236237832</v>
      </c>
      <c r="F27" s="24"/>
      <c r="G27" s="404"/>
      <c r="H27" s="30" t="s">
        <v>12</v>
      </c>
      <c r="I27" s="14" t="s">
        <v>9</v>
      </c>
      <c r="J27" s="177">
        <f>'Input &amp; Results'!C19</f>
        <v>734.65626710860454</v>
      </c>
      <c r="K27" s="4"/>
      <c r="L27" s="265" t="s">
        <v>35</v>
      </c>
      <c r="M27" s="205">
        <f>T16</f>
        <v>94162.413225059965</v>
      </c>
      <c r="N27" s="205">
        <f>V16</f>
        <v>5277.3629159915781</v>
      </c>
      <c r="O27" s="205">
        <f>X16</f>
        <v>6516.7556384329155</v>
      </c>
      <c r="P27" s="206">
        <f>M27+N27+O27</f>
        <v>105956.53177948446</v>
      </c>
      <c r="S27" s="194"/>
      <c r="T27" s="194"/>
      <c r="U27" s="194"/>
      <c r="V27" s="194"/>
      <c r="W27" s="194"/>
      <c r="X27" s="194"/>
      <c r="Y27" s="52"/>
    </row>
    <row r="28" spans="1:30" s="6" customFormat="1" ht="14.45" customHeight="1">
      <c r="A28" s="4"/>
      <c r="B28" s="410"/>
      <c r="C28" s="96" t="s">
        <v>39</v>
      </c>
      <c r="D28" s="76" t="s">
        <v>9</v>
      </c>
      <c r="E28" s="256">
        <f>E27-J30</f>
        <v>0</v>
      </c>
      <c r="F28" s="31"/>
      <c r="G28" s="404"/>
      <c r="H28" s="30" t="s">
        <v>15</v>
      </c>
      <c r="I28" s="14" t="s">
        <v>9</v>
      </c>
      <c r="J28" s="188">
        <f>'Input &amp; Results'!G18</f>
        <v>4950</v>
      </c>
      <c r="K28" s="4"/>
      <c r="L28" s="227" t="s">
        <v>38</v>
      </c>
      <c r="M28" s="197" t="s">
        <v>12</v>
      </c>
      <c r="N28" s="197" t="s">
        <v>32</v>
      </c>
      <c r="O28" s="203" t="s">
        <v>61</v>
      </c>
      <c r="P28" s="199" t="s">
        <v>21</v>
      </c>
      <c r="S28" s="194"/>
      <c r="T28" s="194"/>
      <c r="U28" s="194"/>
      <c r="V28" s="194"/>
      <c r="W28" s="194"/>
      <c r="X28" s="194"/>
      <c r="Y28" s="52"/>
      <c r="Z28" s="21"/>
    </row>
    <row r="29" spans="1:30" s="6" customFormat="1" ht="15" customHeight="1" thickBot="1">
      <c r="A29" s="4"/>
      <c r="F29" s="31"/>
      <c r="G29" s="404"/>
      <c r="H29" s="30" t="s">
        <v>18</v>
      </c>
      <c r="I29" s="14" t="s">
        <v>9</v>
      </c>
      <c r="J29" s="177">
        <f>'Input &amp; Results'!C24</f>
        <v>0</v>
      </c>
      <c r="K29" s="10"/>
      <c r="L29" s="262" t="s">
        <v>63</v>
      </c>
      <c r="M29" s="200">
        <f>S20+T20</f>
        <v>10340.872311486004</v>
      </c>
      <c r="N29" s="200">
        <f>U20+V20</f>
        <v>584.41282791098718</v>
      </c>
      <c r="O29" s="200">
        <f>W20+X20</f>
        <v>0</v>
      </c>
      <c r="P29" s="201">
        <f>M29+N29+O29</f>
        <v>10925.28513939699</v>
      </c>
      <c r="S29" s="194"/>
      <c r="T29" s="194"/>
      <c r="U29" s="194"/>
      <c r="V29" s="194"/>
      <c r="W29" s="194"/>
      <c r="X29" s="194"/>
      <c r="Y29" s="52"/>
    </row>
    <row r="30" spans="1:30" s="6" customFormat="1" ht="18.95" customHeight="1">
      <c r="A30" s="24"/>
      <c r="B30" s="26"/>
      <c r="C30" s="414" t="s">
        <v>37</v>
      </c>
      <c r="D30" s="415"/>
      <c r="E30" s="416"/>
      <c r="F30" s="31"/>
      <c r="G30" s="405"/>
      <c r="H30" s="97" t="s">
        <v>166</v>
      </c>
      <c r="I30" s="97"/>
      <c r="J30" s="223">
        <f>J26+J25</f>
        <v>111972.50236237835</v>
      </c>
      <c r="K30" s="10"/>
      <c r="L30" s="262" t="s">
        <v>23</v>
      </c>
      <c r="M30" s="200">
        <f>S21+T21</f>
        <v>6764.9608539277706</v>
      </c>
      <c r="N30" s="200">
        <f>U21+V21</f>
        <v>385.31159694124915</v>
      </c>
      <c r="O30" s="200">
        <f>W21+X21</f>
        <v>172.88640595903144</v>
      </c>
      <c r="P30" s="201">
        <f>M30+N30+O30</f>
        <v>7323.1588568280513</v>
      </c>
      <c r="S30" s="194"/>
      <c r="T30" s="194"/>
      <c r="U30" s="194"/>
      <c r="V30" s="194"/>
      <c r="W30" s="194"/>
      <c r="X30" s="194"/>
      <c r="Y30" s="44"/>
      <c r="Z30"/>
      <c r="AA30"/>
      <c r="AB30"/>
      <c r="AC30"/>
      <c r="AD30"/>
    </row>
    <row r="31" spans="1:30" s="6" customFormat="1">
      <c r="A31" s="24"/>
      <c r="B31" s="408"/>
      <c r="C31" s="11" t="s">
        <v>40</v>
      </c>
      <c r="D31" s="390">
        <f>E27+E19</f>
        <v>115800.09449645875</v>
      </c>
      <c r="E31" s="391"/>
      <c r="F31" s="31"/>
      <c r="G31" s="24"/>
      <c r="H31" s="24"/>
      <c r="I31" s="24"/>
      <c r="J31" s="24"/>
      <c r="K31" s="10"/>
      <c r="L31" s="265" t="s">
        <v>29</v>
      </c>
      <c r="M31" s="205">
        <f>S22+T22</f>
        <v>5678.9446852252204</v>
      </c>
      <c r="N31" s="205">
        <f>U22+V22</f>
        <v>320.3055546998612</v>
      </c>
      <c r="O31" s="205">
        <f>W22+X22</f>
        <v>259.18141536775033</v>
      </c>
      <c r="P31" s="206">
        <f>M31+N31+O31</f>
        <v>6258.4316552928321</v>
      </c>
      <c r="S31" s="194"/>
      <c r="T31" s="194"/>
      <c r="U31" s="194"/>
      <c r="V31" s="194"/>
      <c r="W31" s="194"/>
      <c r="X31" s="194"/>
      <c r="Y31" s="43"/>
      <c r="Z31"/>
      <c r="AA31"/>
      <c r="AB31"/>
      <c r="AC31"/>
      <c r="AD31"/>
    </row>
    <row r="32" spans="1:30" s="6" customFormat="1" ht="16.5" customHeight="1">
      <c r="A32" s="24"/>
      <c r="B32" s="408"/>
      <c r="C32" s="11" t="s">
        <v>41</v>
      </c>
      <c r="D32" s="390">
        <f>J26+J19+J12+J5</f>
        <v>87465.626710860466</v>
      </c>
      <c r="E32" s="391"/>
      <c r="F32" s="26"/>
      <c r="G32" s="24"/>
      <c r="J32" s="24"/>
      <c r="K32" s="10"/>
      <c r="M32" s="208"/>
      <c r="N32" s="208"/>
      <c r="O32" s="208"/>
      <c r="P32" s="208"/>
      <c r="S32" s="194"/>
      <c r="T32" s="194"/>
      <c r="U32" s="194"/>
      <c r="V32" s="194"/>
      <c r="W32" s="194"/>
      <c r="X32" s="194"/>
      <c r="Y32" s="43"/>
      <c r="Z32"/>
      <c r="AA32"/>
      <c r="AB32"/>
      <c r="AC32"/>
      <c r="AD32"/>
    </row>
    <row r="33" spans="1:29" ht="15.75" thickBot="1">
      <c r="A33" s="31"/>
      <c r="B33" s="420"/>
      <c r="C33" s="144" t="s">
        <v>42</v>
      </c>
      <c r="D33" s="392">
        <f>(D31-D32-E28)/D31</f>
        <v>0.24468432352155614</v>
      </c>
      <c r="E33" s="393"/>
      <c r="F33" s="26"/>
      <c r="G33" s="24"/>
      <c r="J33" s="24"/>
      <c r="K33" s="10"/>
      <c r="S33" s="194"/>
      <c r="T33" s="194"/>
      <c r="Y33" s="43"/>
    </row>
    <row r="34" spans="1:29" ht="15" customHeight="1" thickBot="1">
      <c r="A34" s="31"/>
      <c r="B34" s="420"/>
      <c r="C34" s="40"/>
      <c r="D34" s="16"/>
      <c r="E34" s="31"/>
      <c r="F34" s="26"/>
      <c r="G34" s="24"/>
      <c r="J34" s="24"/>
      <c r="K34" s="10"/>
      <c r="Y34" s="44"/>
    </row>
    <row r="35" spans="1:29" ht="15" customHeight="1">
      <c r="A35" s="31"/>
      <c r="B35" s="408"/>
      <c r="C35" s="414" t="s">
        <v>78</v>
      </c>
      <c r="D35" s="415"/>
      <c r="E35" s="416"/>
      <c r="F35" s="26"/>
      <c r="G35" s="24"/>
      <c r="J35" s="24"/>
      <c r="K35" s="10"/>
    </row>
    <row r="36" spans="1:29" ht="15" customHeight="1">
      <c r="A36" s="31"/>
      <c r="B36" s="408"/>
      <c r="C36" s="11" t="s">
        <v>40</v>
      </c>
      <c r="D36" s="390">
        <f>M29+M30+M31+N31+N30+N29+D37</f>
        <v>101640.43454105154</v>
      </c>
      <c r="E36" s="391"/>
      <c r="F36" s="26"/>
      <c r="G36" s="24"/>
      <c r="H36" s="24"/>
      <c r="I36" s="24"/>
      <c r="J36" s="24"/>
      <c r="K36" s="10"/>
      <c r="Y36" s="36"/>
      <c r="Z36" s="36"/>
      <c r="AA36" s="36"/>
      <c r="AB36" s="36"/>
      <c r="AC36" s="36"/>
    </row>
    <row r="37" spans="1:29" ht="15.95" customHeight="1">
      <c r="A37" s="31"/>
      <c r="B37" s="46"/>
      <c r="C37" s="11" t="s">
        <v>41</v>
      </c>
      <c r="D37" s="390">
        <f>M22+N22</f>
        <v>77565.626710860452</v>
      </c>
      <c r="E37" s="391"/>
      <c r="F37" s="26"/>
      <c r="G37" s="24"/>
      <c r="H37" s="24"/>
      <c r="I37" s="24"/>
      <c r="J37" s="24"/>
      <c r="K37" s="10"/>
      <c r="Y37" s="36"/>
      <c r="Z37" s="36"/>
      <c r="AA37" s="36"/>
      <c r="AB37" s="36"/>
      <c r="AC37" s="36"/>
    </row>
    <row r="38" spans="1:29" ht="15" customHeight="1" thickBot="1">
      <c r="A38" s="31"/>
      <c r="B38" s="46"/>
      <c r="C38" s="144" t="s">
        <v>110</v>
      </c>
      <c r="D38" s="392">
        <f>(D36-(D37*'Input &amp; Results'!G12))/'M1Energy Handled '!D36</f>
        <v>0.31317625357475976</v>
      </c>
      <c r="E38" s="393"/>
      <c r="F38" s="26"/>
      <c r="G38" s="24"/>
      <c r="H38" s="24"/>
      <c r="I38" s="24"/>
      <c r="J38" s="24"/>
      <c r="K38" s="10"/>
      <c r="U38" s="189"/>
      <c r="V38" s="189"/>
      <c r="W38" s="189"/>
      <c r="X38" s="189"/>
      <c r="Y38" s="36"/>
      <c r="Z38" s="48"/>
      <c r="AA38" s="36"/>
      <c r="AB38" s="36"/>
      <c r="AC38" s="36"/>
    </row>
    <row r="39" spans="1:29" ht="15" customHeight="1">
      <c r="A39" s="31"/>
      <c r="B39" s="24"/>
      <c r="C39" s="40"/>
      <c r="D39" s="16"/>
      <c r="E39" s="31"/>
      <c r="F39" s="26"/>
      <c r="G39" s="24"/>
      <c r="H39" s="24"/>
      <c r="I39" s="24"/>
      <c r="J39" s="24"/>
      <c r="K39" s="10"/>
      <c r="T39" s="189"/>
      <c r="U39" s="402"/>
      <c r="V39" s="402"/>
      <c r="W39" s="402"/>
      <c r="X39" s="212"/>
      <c r="Y39" s="36"/>
      <c r="Z39" s="48"/>
      <c r="AA39" s="36"/>
      <c r="AB39" s="36"/>
      <c r="AC39" s="36"/>
    </row>
    <row r="40" spans="1:29" ht="15" customHeight="1">
      <c r="A40" s="31"/>
      <c r="B40" s="24"/>
      <c r="C40" s="40"/>
      <c r="D40" s="16"/>
      <c r="E40" s="31"/>
      <c r="F40" s="26"/>
      <c r="G40" s="24"/>
      <c r="H40" s="24"/>
      <c r="I40" s="24"/>
      <c r="J40" s="24"/>
      <c r="K40" s="10"/>
      <c r="R40" s="24"/>
      <c r="S40" s="402"/>
      <c r="T40" s="402"/>
      <c r="U40" s="213"/>
      <c r="V40" s="212"/>
      <c r="W40" s="212"/>
      <c r="X40" s="212"/>
      <c r="Y40" s="36"/>
      <c r="Z40" s="36"/>
      <c r="AA40" s="36"/>
      <c r="AB40" s="36"/>
      <c r="AC40" s="36"/>
    </row>
    <row r="41" spans="1:29" ht="17.100000000000001" customHeight="1">
      <c r="A41" s="31"/>
      <c r="B41" s="406" t="s">
        <v>173</v>
      </c>
      <c r="C41" s="406"/>
      <c r="D41" s="406"/>
      <c r="E41" s="406"/>
      <c r="F41" s="406"/>
      <c r="G41" s="406"/>
      <c r="H41" s="406"/>
      <c r="I41" s="406"/>
      <c r="J41" s="406"/>
      <c r="K41" s="406"/>
      <c r="L41" s="406"/>
      <c r="M41" s="406"/>
      <c r="N41" s="406"/>
      <c r="O41" s="406"/>
      <c r="P41" s="406"/>
      <c r="Q41" s="406"/>
      <c r="R41" s="406"/>
      <c r="S41" s="406"/>
      <c r="T41" s="406"/>
      <c r="U41" s="406"/>
      <c r="V41" s="212"/>
      <c r="W41" s="212"/>
      <c r="X41" s="212"/>
      <c r="Y41" s="36"/>
      <c r="Z41" s="36"/>
      <c r="AA41" s="36"/>
      <c r="AB41" s="36"/>
      <c r="AC41" s="36"/>
    </row>
    <row r="42" spans="1:29" ht="34.5" customHeight="1">
      <c r="A42" s="31"/>
      <c r="B42" s="143">
        <v>1</v>
      </c>
      <c r="C42" s="407" t="s">
        <v>99</v>
      </c>
      <c r="D42" s="407"/>
      <c r="E42" s="407"/>
      <c r="F42" s="407"/>
      <c r="G42" s="407"/>
      <c r="H42" s="407"/>
      <c r="I42" s="407"/>
      <c r="J42" s="407"/>
      <c r="K42" s="407"/>
      <c r="L42" s="407"/>
      <c r="M42" s="407"/>
      <c r="N42" s="407"/>
      <c r="O42" s="407"/>
      <c r="P42" s="407"/>
      <c r="Q42" s="407"/>
      <c r="R42" s="407"/>
      <c r="S42" s="407"/>
      <c r="T42" s="407"/>
      <c r="U42" s="407"/>
      <c r="V42" s="212"/>
      <c r="W42" s="212"/>
      <c r="X42" s="214"/>
      <c r="Y42" s="36"/>
      <c r="Z42" s="36"/>
      <c r="AA42" s="36"/>
      <c r="AB42" s="36"/>
      <c r="AC42" s="36"/>
    </row>
    <row r="43" spans="1:29" ht="36" customHeight="1">
      <c r="B43" s="143">
        <v>2</v>
      </c>
      <c r="C43" s="389" t="s">
        <v>159</v>
      </c>
      <c r="D43" s="389"/>
      <c r="E43" s="389"/>
      <c r="F43" s="389"/>
      <c r="G43" s="389"/>
      <c r="H43" s="389"/>
      <c r="I43" s="389"/>
      <c r="J43" s="389"/>
      <c r="K43" s="389"/>
      <c r="L43" s="389"/>
      <c r="M43" s="389"/>
      <c r="N43" s="389"/>
      <c r="O43" s="389"/>
      <c r="P43" s="389"/>
      <c r="Q43" s="389"/>
      <c r="R43" s="389"/>
      <c r="S43" s="389"/>
      <c r="T43" s="389"/>
      <c r="U43" s="389"/>
      <c r="V43" s="212"/>
      <c r="W43" s="212"/>
      <c r="X43" s="212"/>
      <c r="Y43" s="36"/>
      <c r="Z43" s="36"/>
      <c r="AA43" s="36"/>
      <c r="AB43" s="36"/>
      <c r="AC43" s="36"/>
    </row>
    <row r="44" spans="1:29" ht="101.45" customHeight="1">
      <c r="B44" s="142">
        <v>3</v>
      </c>
      <c r="C44" s="389" t="s">
        <v>176</v>
      </c>
      <c r="D44" s="389"/>
      <c r="E44" s="389"/>
      <c r="F44" s="389"/>
      <c r="G44" s="389"/>
      <c r="H44" s="389"/>
      <c r="I44" s="389"/>
      <c r="J44" s="389"/>
      <c r="K44" s="389"/>
      <c r="L44" s="389"/>
      <c r="M44" s="389"/>
      <c r="N44" s="389"/>
      <c r="O44" s="389"/>
      <c r="P44" s="389"/>
      <c r="Q44" s="389"/>
      <c r="R44" s="389"/>
      <c r="S44" s="389"/>
      <c r="T44" s="389"/>
      <c r="U44" s="389"/>
      <c r="V44" s="212"/>
      <c r="W44" s="212"/>
      <c r="X44" s="212"/>
      <c r="Y44" s="36"/>
      <c r="Z44" s="36"/>
      <c r="AA44" s="36"/>
      <c r="AB44" s="36"/>
      <c r="AC44" s="36"/>
    </row>
    <row r="45" spans="1:29" ht="18.95" customHeight="1">
      <c r="B45" s="142">
        <v>4</v>
      </c>
      <c r="C45" s="394" t="s">
        <v>141</v>
      </c>
      <c r="D45" s="394"/>
      <c r="E45" s="394"/>
      <c r="F45" s="394"/>
      <c r="G45" s="394"/>
      <c r="H45" s="394"/>
      <c r="I45" s="394"/>
      <c r="J45" s="394"/>
      <c r="K45" s="394"/>
      <c r="L45" s="394"/>
      <c r="M45" s="394"/>
      <c r="N45" s="394"/>
      <c r="O45" s="394"/>
      <c r="P45" s="394"/>
      <c r="Q45" s="394"/>
      <c r="R45" s="394"/>
      <c r="S45" s="394"/>
      <c r="T45" s="394"/>
      <c r="U45" s="394"/>
      <c r="V45" s="212"/>
      <c r="W45" s="212"/>
      <c r="X45" s="212"/>
    </row>
    <row r="46" spans="1:29" ht="15" customHeight="1">
      <c r="C46" s="1"/>
      <c r="D46"/>
      <c r="E46"/>
      <c r="F46"/>
      <c r="G46"/>
      <c r="H46"/>
      <c r="I46"/>
      <c r="J46"/>
      <c r="K46"/>
      <c r="L46"/>
      <c r="M46" s="196"/>
      <c r="N46" s="196"/>
      <c r="O46" s="196"/>
      <c r="P46" s="196"/>
      <c r="Q46"/>
      <c r="R46"/>
      <c r="S46" s="189"/>
      <c r="T46" s="189"/>
      <c r="U46" s="189"/>
      <c r="V46" s="189"/>
      <c r="W46" s="189"/>
      <c r="X46" s="189"/>
    </row>
    <row r="47" spans="1:29" ht="15" customHeight="1">
      <c r="B47"/>
      <c r="C47" s="1"/>
      <c r="D47"/>
      <c r="E47"/>
      <c r="F47"/>
      <c r="G47"/>
      <c r="H47"/>
      <c r="I47"/>
      <c r="J47"/>
      <c r="K47"/>
      <c r="L47"/>
      <c r="M47" s="196"/>
      <c r="N47" s="196"/>
      <c r="O47" s="196"/>
      <c r="P47" s="196"/>
      <c r="Q47"/>
      <c r="R47"/>
      <c r="S47" s="189"/>
      <c r="T47" s="189"/>
      <c r="U47" s="189"/>
      <c r="V47" s="189"/>
      <c r="W47" s="189"/>
      <c r="X47" s="189"/>
    </row>
    <row r="48" spans="1:29" ht="15" customHeight="1">
      <c r="Q48"/>
      <c r="S48" s="189"/>
      <c r="T48" s="189"/>
      <c r="U48" s="189"/>
      <c r="V48" s="189"/>
      <c r="W48" s="189"/>
      <c r="X48" s="189"/>
    </row>
    <row r="49" spans="17:24" ht="15" customHeight="1">
      <c r="Q49"/>
      <c r="S49" s="189"/>
      <c r="T49" s="189"/>
      <c r="U49" s="189"/>
      <c r="V49" s="189"/>
      <c r="W49" s="189"/>
      <c r="X49" s="189"/>
    </row>
    <row r="50" spans="17:24" ht="15" customHeight="1">
      <c r="Q50"/>
      <c r="R50"/>
      <c r="S50" s="189"/>
      <c r="T50" s="189"/>
      <c r="U50" s="189"/>
      <c r="V50" s="189"/>
      <c r="W50" s="189"/>
      <c r="X50" s="189"/>
    </row>
    <row r="51" spans="17:24" ht="15" customHeight="1">
      <c r="Q51"/>
      <c r="R51"/>
      <c r="S51" s="189"/>
      <c r="T51" s="189"/>
      <c r="U51" s="189"/>
      <c r="V51" s="189"/>
      <c r="W51" s="189"/>
      <c r="X51" s="189"/>
    </row>
    <row r="52" spans="17:24" ht="15" customHeight="1">
      <c r="Q52"/>
      <c r="R52"/>
      <c r="S52" s="189"/>
      <c r="T52" s="189"/>
      <c r="U52" s="189"/>
      <c r="V52" s="189"/>
      <c r="W52" s="189"/>
      <c r="X52" s="189"/>
    </row>
    <row r="53" spans="17:24" ht="15.6" customHeight="1">
      <c r="Q53"/>
      <c r="R53"/>
      <c r="S53" s="189"/>
      <c r="T53" s="189"/>
      <c r="U53" s="189"/>
      <c r="V53" s="189"/>
      <c r="W53" s="189"/>
      <c r="X53" s="189"/>
    </row>
    <row r="54" spans="17:24" ht="15" customHeight="1">
      <c r="R54"/>
      <c r="S54" s="189"/>
      <c r="T54" s="189"/>
      <c r="U54" s="189"/>
      <c r="V54" s="189"/>
      <c r="W54" s="189"/>
      <c r="X54" s="189"/>
    </row>
    <row r="55" spans="17:24">
      <c r="R55"/>
      <c r="S55" s="189"/>
      <c r="T55" s="189"/>
      <c r="U55" s="189"/>
      <c r="V55" s="189"/>
      <c r="W55" s="189"/>
      <c r="X55" s="189"/>
    </row>
    <row r="56" spans="17:24">
      <c r="R56"/>
      <c r="S56" s="189"/>
      <c r="T56" s="189"/>
      <c r="V56" s="189"/>
      <c r="W56" s="189"/>
      <c r="X56" s="189"/>
    </row>
    <row r="57" spans="17:24">
      <c r="V57" s="189"/>
      <c r="W57" s="189"/>
      <c r="X57" s="189"/>
    </row>
    <row r="58" spans="17:24">
      <c r="V58" s="189"/>
      <c r="W58" s="189"/>
      <c r="X58" s="189"/>
    </row>
    <row r="59" spans="17:24">
      <c r="V59" s="189"/>
      <c r="W59" s="189"/>
      <c r="X59" s="189"/>
    </row>
    <row r="60" spans="17:24">
      <c r="V60" s="189"/>
      <c r="W60" s="189"/>
      <c r="X60" s="189"/>
    </row>
    <row r="61" spans="17:24">
      <c r="V61" s="189"/>
      <c r="W61" s="189"/>
      <c r="X61" s="189"/>
    </row>
    <row r="62" spans="17:24">
      <c r="V62" s="189"/>
      <c r="W62" s="189"/>
      <c r="X62" s="189"/>
    </row>
    <row r="63" spans="17:24">
      <c r="V63" s="189"/>
      <c r="W63" s="189"/>
      <c r="X63" s="189"/>
    </row>
  </sheetData>
  <sheetProtection password="9993" sheet="1" objects="1" scenarios="1" formatCells="0" formatColumns="0" formatRows="0"/>
  <dataConsolidate/>
  <mergeCells count="48">
    <mergeCell ref="B1:J1"/>
    <mergeCell ref="R1:X1"/>
    <mergeCell ref="L1:P1"/>
    <mergeCell ref="B31:B32"/>
    <mergeCell ref="B33:B34"/>
    <mergeCell ref="G3:J3"/>
    <mergeCell ref="G5:G11"/>
    <mergeCell ref="G12:G18"/>
    <mergeCell ref="G19:G25"/>
    <mergeCell ref="L16:P16"/>
    <mergeCell ref="R3:X3"/>
    <mergeCell ref="S4:T4"/>
    <mergeCell ref="U4:V4"/>
    <mergeCell ref="W4:X4"/>
    <mergeCell ref="L3:P3"/>
    <mergeCell ref="R4:R5"/>
    <mergeCell ref="B35:B36"/>
    <mergeCell ref="B27:B28"/>
    <mergeCell ref="B3:E3"/>
    <mergeCell ref="C30:E30"/>
    <mergeCell ref="C35:E35"/>
    <mergeCell ref="B5:B12"/>
    <mergeCell ref="B13:B19"/>
    <mergeCell ref="B23:B24"/>
    <mergeCell ref="B25:B26"/>
    <mergeCell ref="B20:B22"/>
    <mergeCell ref="C45:U45"/>
    <mergeCell ref="W11:X11"/>
    <mergeCell ref="W18:X18"/>
    <mergeCell ref="R11:R12"/>
    <mergeCell ref="R18:R19"/>
    <mergeCell ref="S11:T11"/>
    <mergeCell ref="U11:V11"/>
    <mergeCell ref="U39:W39"/>
    <mergeCell ref="S40:T40"/>
    <mergeCell ref="G26:G30"/>
    <mergeCell ref="S18:T18"/>
    <mergeCell ref="U18:V18"/>
    <mergeCell ref="D38:E38"/>
    <mergeCell ref="B41:U41"/>
    <mergeCell ref="C42:U42"/>
    <mergeCell ref="C43:U43"/>
    <mergeCell ref="C44:U44"/>
    <mergeCell ref="D31:E31"/>
    <mergeCell ref="D32:E32"/>
    <mergeCell ref="D33:E33"/>
    <mergeCell ref="D36:E36"/>
    <mergeCell ref="D37:E37"/>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AC49"/>
  <sheetViews>
    <sheetView showGridLines="0" topLeftCell="A3" zoomScale="80" zoomScaleNormal="80" workbookViewId="0">
      <selection activeCell="Z3" sqref="Z3"/>
    </sheetView>
  </sheetViews>
  <sheetFormatPr defaultColWidth="8.85546875" defaultRowHeight="15"/>
  <cols>
    <col min="1" max="1" width="2" style="1" customWidth="1"/>
    <col min="2" max="2" width="4" style="1" customWidth="1"/>
    <col min="3" max="3" width="33.28515625" style="2" customWidth="1"/>
    <col min="4" max="4" width="6.42578125" style="3" customWidth="1"/>
    <col min="5" max="5" width="8.7109375" style="1" customWidth="1"/>
    <col min="6" max="6" width="3.140625" style="1" customWidth="1"/>
    <col min="7" max="7" width="4" style="1" customWidth="1"/>
    <col min="8" max="8" width="25.42578125" style="1" customWidth="1"/>
    <col min="9" max="9" width="6.140625" style="1" customWidth="1"/>
    <col min="10" max="10" width="7.85546875" style="1" customWidth="1"/>
    <col min="11" max="11" width="3" style="1" customWidth="1"/>
    <col min="12" max="12" width="9.7109375" style="1" customWidth="1"/>
    <col min="13" max="13" width="10" style="209" customWidth="1"/>
    <col min="14" max="14" width="10.5703125" style="209" customWidth="1"/>
    <col min="15" max="15" width="12.5703125" style="209" customWidth="1"/>
    <col min="16" max="16" width="14.42578125" style="209" customWidth="1"/>
    <col min="17" max="17" width="3.140625" style="1" customWidth="1"/>
    <col min="18" max="18" width="9.28515625" style="1" customWidth="1"/>
    <col min="19" max="19" width="10.28515625" style="209" customWidth="1"/>
    <col min="20" max="20" width="10.5703125" style="209" customWidth="1"/>
    <col min="21" max="21" width="11.140625" style="209" customWidth="1"/>
    <col min="22" max="22" width="10.140625" style="209" customWidth="1"/>
    <col min="23" max="23" width="10.42578125" style="209" customWidth="1"/>
    <col min="24" max="24" width="14.28515625" style="209" customWidth="1"/>
    <col min="25" max="25" width="13" customWidth="1"/>
    <col min="26" max="27" width="14.42578125" customWidth="1"/>
    <col min="28" max="28" width="10.140625" customWidth="1"/>
    <col min="29" max="29" width="10.85546875" bestFit="1" customWidth="1"/>
    <col min="30" max="30" width="12.42578125" customWidth="1"/>
    <col min="31" max="31" width="16.140625" customWidth="1"/>
    <col min="32" max="32" width="9.140625" customWidth="1"/>
    <col min="33" max="33" width="9.85546875" customWidth="1"/>
    <col min="34" max="34" width="14.140625" customWidth="1"/>
    <col min="35" max="35" width="18.42578125" customWidth="1"/>
    <col min="36" max="36" width="13.85546875" customWidth="1"/>
  </cols>
  <sheetData>
    <row r="1" spans="1:26">
      <c r="B1" s="417" t="s">
        <v>136</v>
      </c>
      <c r="C1" s="417"/>
      <c r="D1" s="417"/>
      <c r="E1" s="417"/>
      <c r="F1" s="417"/>
      <c r="G1" s="417"/>
      <c r="H1" s="417"/>
      <c r="I1" s="417"/>
      <c r="J1" s="417"/>
      <c r="L1" s="419" t="s">
        <v>137</v>
      </c>
      <c r="M1" s="419"/>
      <c r="N1" s="419"/>
      <c r="O1" s="419"/>
      <c r="P1" s="419"/>
      <c r="R1" s="418" t="s">
        <v>140</v>
      </c>
      <c r="S1" s="418"/>
      <c r="T1" s="418"/>
      <c r="U1" s="418"/>
      <c r="V1" s="418"/>
      <c r="W1" s="418"/>
      <c r="X1" s="418"/>
    </row>
    <row r="2" spans="1:26">
      <c r="L2"/>
      <c r="M2" s="196"/>
      <c r="N2" s="196"/>
      <c r="O2" s="196"/>
      <c r="P2" s="196"/>
      <c r="Q2"/>
      <c r="R2"/>
      <c r="X2" s="196"/>
    </row>
    <row r="3" spans="1:26" s="6" customFormat="1" ht="15" customHeight="1">
      <c r="A3" s="4"/>
      <c r="B3" s="411" t="s">
        <v>0</v>
      </c>
      <c r="C3" s="412"/>
      <c r="D3" s="412"/>
      <c r="E3" s="413"/>
      <c r="F3" s="5"/>
      <c r="G3" s="411" t="s">
        <v>1</v>
      </c>
      <c r="H3" s="412"/>
      <c r="I3" s="412"/>
      <c r="J3" s="413"/>
      <c r="K3" s="4"/>
      <c r="L3" s="421" t="s">
        <v>138</v>
      </c>
      <c r="M3" s="422"/>
      <c r="N3" s="422"/>
      <c r="O3" s="422"/>
      <c r="P3" s="423"/>
      <c r="Q3"/>
      <c r="R3" s="411" t="s">
        <v>172</v>
      </c>
      <c r="S3" s="424"/>
      <c r="T3" s="424"/>
      <c r="U3" s="424"/>
      <c r="V3" s="424"/>
      <c r="W3" s="424"/>
      <c r="X3" s="413"/>
    </row>
    <row r="4" spans="1:26" s="6" customFormat="1">
      <c r="A4" s="4"/>
      <c r="B4" s="89"/>
      <c r="C4" s="78" t="s">
        <v>2</v>
      </c>
      <c r="D4" s="79" t="s">
        <v>3</v>
      </c>
      <c r="E4" s="80" t="s">
        <v>4</v>
      </c>
      <c r="F4" s="7"/>
      <c r="G4" s="269"/>
      <c r="H4" s="130" t="s">
        <v>2</v>
      </c>
      <c r="I4" s="131" t="s">
        <v>3</v>
      </c>
      <c r="J4" s="132" t="s">
        <v>4</v>
      </c>
      <c r="K4" s="4"/>
      <c r="L4" s="225" t="s">
        <v>5</v>
      </c>
      <c r="M4" s="197" t="s">
        <v>146</v>
      </c>
      <c r="N4" s="197" t="s">
        <v>52</v>
      </c>
      <c r="O4" s="198" t="s">
        <v>6</v>
      </c>
      <c r="P4" s="199" t="s">
        <v>15</v>
      </c>
      <c r="Q4" s="8"/>
      <c r="R4" s="427" t="s">
        <v>31</v>
      </c>
      <c r="S4" s="425" t="s">
        <v>12</v>
      </c>
      <c r="T4" s="426"/>
      <c r="U4" s="425" t="s">
        <v>101</v>
      </c>
      <c r="V4" s="426"/>
      <c r="W4" s="429" t="s">
        <v>15</v>
      </c>
      <c r="X4" s="430"/>
    </row>
    <row r="5" spans="1:26" s="6" customFormat="1" ht="15" customHeight="1">
      <c r="A5" s="4"/>
      <c r="B5" s="403" t="s">
        <v>7</v>
      </c>
      <c r="C5" s="81" t="s">
        <v>8</v>
      </c>
      <c r="D5" s="82" t="s">
        <v>9</v>
      </c>
      <c r="E5" s="220">
        <f>(SUM(E6:E9))</f>
        <v>40781.80747960123</v>
      </c>
      <c r="F5" s="9"/>
      <c r="G5" s="403" t="s">
        <v>63</v>
      </c>
      <c r="H5" s="107" t="s">
        <v>62</v>
      </c>
      <c r="I5" s="108" t="s">
        <v>9</v>
      </c>
      <c r="J5" s="187">
        <f>SUM(J6:J8)</f>
        <v>58037.845101579762</v>
      </c>
      <c r="K5" s="10"/>
      <c r="L5" s="116" t="s">
        <v>10</v>
      </c>
      <c r="M5" s="200">
        <f>'Input &amp; Results'!C7</f>
        <v>36358.703999999998</v>
      </c>
      <c r="N5" s="200">
        <f>'Input &amp; Results'!C10</f>
        <v>425.24799999999999</v>
      </c>
      <c r="O5" s="200">
        <f>'Input &amp; Results'!C13</f>
        <v>956.80799999999999</v>
      </c>
      <c r="P5" s="201">
        <f>((X16*('Input &amp; Results'!H23/('Input &amp; Results'!H23+'Input &amp; Results'!H24)))/(1-'Input &amp; Results'!G5))/(1-'Input &amp; Results'!G6)</f>
        <v>3041.0474796012354</v>
      </c>
      <c r="Q5"/>
      <c r="R5" s="428"/>
      <c r="S5" s="239" t="s">
        <v>59</v>
      </c>
      <c r="T5" s="240" t="s">
        <v>60</v>
      </c>
      <c r="U5" s="239" t="s">
        <v>59</v>
      </c>
      <c r="V5" s="240" t="s">
        <v>60</v>
      </c>
      <c r="W5" s="241" t="s">
        <v>59</v>
      </c>
      <c r="X5" s="240" t="s">
        <v>60</v>
      </c>
    </row>
    <row r="6" spans="1:26" s="6" customFormat="1" ht="20.25" customHeight="1">
      <c r="A6" s="4"/>
      <c r="B6" s="404"/>
      <c r="C6" s="83" t="s">
        <v>163</v>
      </c>
      <c r="D6" s="13" t="s">
        <v>9</v>
      </c>
      <c r="E6" s="174">
        <f>'Input &amp; Results'!C7</f>
        <v>36358.703999999998</v>
      </c>
      <c r="F6" s="9"/>
      <c r="G6" s="404"/>
      <c r="H6" s="109" t="s">
        <v>12</v>
      </c>
      <c r="I6" s="14" t="s">
        <v>9</v>
      </c>
      <c r="J6" s="177">
        <f>M18</f>
        <v>58037.845101579762</v>
      </c>
      <c r="K6" s="10"/>
      <c r="L6" s="116" t="s">
        <v>13</v>
      </c>
      <c r="M6" s="200">
        <f>'Input &amp; Results'!C8</f>
        <v>59322.096000000005</v>
      </c>
      <c r="N6" s="200">
        <f>'Input &amp; Results'!C11</f>
        <v>637.87200000000018</v>
      </c>
      <c r="O6" s="200">
        <f>'Input &amp; Results'!C14</f>
        <v>6410.6136000000006</v>
      </c>
      <c r="P6" s="201">
        <f>(X16*('Input &amp; Results'!H24/('Input &amp; Results'!H23+'Input &amp; Results'!H24)))/(1-'Input &amp; Results'!G6)</f>
        <v>3798.0945278802506</v>
      </c>
      <c r="Q6" s="33"/>
      <c r="R6" s="260" t="s">
        <v>63</v>
      </c>
      <c r="S6" s="215">
        <f>(O9*(1-'Input &amp; Results'!G9))*'Input &amp; Results'!C22/('Input &amp; Results'!C22+'Input &amp; Results'!C27)</f>
        <v>384.33463715318612</v>
      </c>
      <c r="T6" s="201">
        <f>'Input &amp; Results'!C22-S6</f>
        <v>57653.510464426574</v>
      </c>
      <c r="U6" s="215">
        <v>0</v>
      </c>
      <c r="V6" s="201">
        <v>0</v>
      </c>
      <c r="W6" s="200">
        <f>'Input &amp; Results'!H27*'Input &amp; Results'!$G$17</f>
        <v>0</v>
      </c>
      <c r="X6" s="201">
        <f>('Input &amp; Results'!G17*'Input &amp; Results'!H21)-M2DF!W6</f>
        <v>0</v>
      </c>
    </row>
    <row r="7" spans="1:26" s="6" customFormat="1">
      <c r="A7" s="4"/>
      <c r="B7" s="404"/>
      <c r="C7" s="84" t="s">
        <v>114</v>
      </c>
      <c r="D7" s="15" t="s">
        <v>9</v>
      </c>
      <c r="E7" s="175">
        <f>'Input &amp; Results'!C13</f>
        <v>956.80799999999999</v>
      </c>
      <c r="F7" s="9"/>
      <c r="G7" s="404"/>
      <c r="H7" s="109" t="s">
        <v>15</v>
      </c>
      <c r="I7" s="14" t="s">
        <v>9</v>
      </c>
      <c r="J7" s="188">
        <f>O18</f>
        <v>0</v>
      </c>
      <c r="K7" s="10"/>
      <c r="L7" s="117" t="s">
        <v>11</v>
      </c>
      <c r="M7" s="200">
        <v>0</v>
      </c>
      <c r="N7" s="200">
        <v>0</v>
      </c>
      <c r="O7" s="200">
        <f>'Input &amp; Results'!C15</f>
        <v>956.80799999999999</v>
      </c>
      <c r="P7" s="201">
        <f>W15</f>
        <v>2738.8689799143503</v>
      </c>
      <c r="Q7"/>
      <c r="R7" s="260" t="s">
        <v>23</v>
      </c>
      <c r="S7" s="215">
        <f>(O8*(1-'Input &amp; Results'!G8))*'Input &amp; Results'!C21/('Input &amp; Results'!C21+'Input &amp; Results'!C26)</f>
        <v>664.06633626414589</v>
      </c>
      <c r="T7" s="201">
        <f>'Input &amp; Results'!C21-S7</f>
        <v>8886.4651361477136</v>
      </c>
      <c r="U7" s="215">
        <v>0</v>
      </c>
      <c r="V7" s="201">
        <v>0</v>
      </c>
      <c r="W7" s="200">
        <f>'Input &amp; Results'!H26*'Input &amp; Results'!$G$17</f>
        <v>990</v>
      </c>
      <c r="X7" s="201">
        <f>('Input &amp; Results'!G17*'Input &amp; Results'!H20)-M2DF!W7</f>
        <v>990</v>
      </c>
    </row>
    <row r="8" spans="1:26" s="6" customFormat="1">
      <c r="A8" s="4"/>
      <c r="B8" s="404"/>
      <c r="C8" s="133" t="s">
        <v>164</v>
      </c>
      <c r="D8" s="13" t="s">
        <v>17</v>
      </c>
      <c r="E8" s="174">
        <f>'Input &amp; Results'!C10</f>
        <v>425.24799999999999</v>
      </c>
      <c r="F8" s="9"/>
      <c r="G8" s="404"/>
      <c r="H8" s="109" t="s">
        <v>18</v>
      </c>
      <c r="I8" s="14" t="s">
        <v>9</v>
      </c>
      <c r="J8" s="177">
        <f>N18</f>
        <v>0</v>
      </c>
      <c r="K8" s="10"/>
      <c r="L8" s="117" t="s">
        <v>14</v>
      </c>
      <c r="M8" s="200">
        <v>0</v>
      </c>
      <c r="N8" s="200">
        <v>0</v>
      </c>
      <c r="O8" s="200">
        <f>'Input &amp; Results'!C16</f>
        <v>765.44640000000004</v>
      </c>
      <c r="P8" s="201">
        <f>W14</f>
        <v>1076.4432029795157</v>
      </c>
      <c r="Q8"/>
      <c r="R8" s="260" t="s">
        <v>29</v>
      </c>
      <c r="S8" s="215">
        <f>(O7*(1-'Input &amp; Results'!G7))*'Input &amp; Results'!C20/('Input &amp; Results'!C20+'Input &amp; Results'!C25)</f>
        <v>858.16116703778096</v>
      </c>
      <c r="T8" s="201">
        <f>'Input &amp; Results'!C20-S8</f>
        <v>4284.4327027224517</v>
      </c>
      <c r="U8" s="215">
        <v>0</v>
      </c>
      <c r="V8" s="201">
        <f>0</f>
        <v>0</v>
      </c>
      <c r="W8" s="200">
        <f>'Input &amp; Results'!H25*'Input &amp; Results'!$G$17</f>
        <v>2574</v>
      </c>
      <c r="X8" s="201">
        <f>('Input &amp; Results'!G17*'Input &amp; Results'!H19)-M2DF!W8</f>
        <v>396</v>
      </c>
    </row>
    <row r="9" spans="1:26" s="6" customFormat="1">
      <c r="A9" s="4"/>
      <c r="B9" s="404"/>
      <c r="C9" s="85" t="s">
        <v>145</v>
      </c>
      <c r="D9" s="16" t="s">
        <v>17</v>
      </c>
      <c r="E9" s="176">
        <f>P5</f>
        <v>3041.0474796012354</v>
      </c>
      <c r="F9" s="9"/>
      <c r="G9" s="404"/>
      <c r="H9" s="110" t="s">
        <v>64</v>
      </c>
      <c r="I9" s="14" t="s">
        <v>9</v>
      </c>
      <c r="J9" s="177">
        <f>P29</f>
        <v>10340.872311486004</v>
      </c>
      <c r="K9" s="10"/>
      <c r="L9" s="117" t="s">
        <v>55</v>
      </c>
      <c r="M9" s="200">
        <v>0</v>
      </c>
      <c r="N9" s="200">
        <v>0</v>
      </c>
      <c r="O9" s="200">
        <f>'Input &amp; Results'!C17</f>
        <v>478.404</v>
      </c>
      <c r="P9" s="201">
        <f>W13</f>
        <v>0</v>
      </c>
      <c r="Q9"/>
      <c r="R9" s="260" t="s">
        <v>35</v>
      </c>
      <c r="S9" s="244" t="s">
        <v>56</v>
      </c>
      <c r="T9" s="201">
        <f>'Input &amp; Results'!C19</f>
        <v>734.65626710860454</v>
      </c>
      <c r="U9" s="244" t="s">
        <v>56</v>
      </c>
      <c r="V9" s="242">
        <f>'M1Energy Handled '!U6+'M1Energy Handled '!U7+'M1Energy Handled '!U8+'M1Energy Handled '!V8+'M1Energy Handled '!V7+'M1Energy Handled '!V6++'M1Energy Handled '!U20+'M1Energy Handled '!U21+'M1Energy Handled '!U22+'M1Energy Handled '!V20+'M1Energy Handled '!V21+'M1Energy Handled '!V22</f>
        <v>5390.0299795520968</v>
      </c>
      <c r="W9" s="200">
        <v>0</v>
      </c>
      <c r="X9" s="201">
        <f>('Input &amp; Results'!G17*'Input &amp; Results'!H18)-M2DF!W9</f>
        <v>4950</v>
      </c>
    </row>
    <row r="10" spans="1:26" s="6" customFormat="1" ht="20.25" customHeight="1">
      <c r="A10" s="4"/>
      <c r="B10" s="404"/>
      <c r="C10" s="86" t="s">
        <v>168</v>
      </c>
      <c r="D10" s="17" t="s">
        <v>20</v>
      </c>
      <c r="E10" s="75">
        <f>'Input &amp; Results'!G5</f>
        <v>2.86E-2</v>
      </c>
      <c r="F10" s="9"/>
      <c r="G10" s="404"/>
      <c r="H10" s="86" t="s">
        <v>162</v>
      </c>
      <c r="I10" s="17" t="s">
        <v>20</v>
      </c>
      <c r="J10" s="75">
        <f>J9/J11</f>
        <v>0.15122939860100501</v>
      </c>
      <c r="K10" s="53"/>
      <c r="L10" s="118" t="s">
        <v>21</v>
      </c>
      <c r="M10" s="205">
        <f>M5+M6+M7+M8+M9</f>
        <v>95680.8</v>
      </c>
      <c r="N10" s="205">
        <f>N5+N6+N7+N8+N9</f>
        <v>1063.1200000000001</v>
      </c>
      <c r="O10" s="205">
        <f>O5+O6+O7+O8+O9</f>
        <v>9568.0800000000017</v>
      </c>
      <c r="P10" s="206">
        <f>P5+P6+P7+P8+P9</f>
        <v>10654.454190375351</v>
      </c>
      <c r="Q10" s="33"/>
      <c r="R10" s="267" t="s">
        <v>21</v>
      </c>
      <c r="S10" s="215">
        <f>S6+S7+S8</f>
        <v>1906.562140455113</v>
      </c>
      <c r="T10" s="201">
        <f>T6+T7+T8+T9</f>
        <v>71559.064570405331</v>
      </c>
      <c r="U10" s="215">
        <f>U6+U7+U8</f>
        <v>0</v>
      </c>
      <c r="V10" s="242">
        <f>V9+V8</f>
        <v>5390.0299795520968</v>
      </c>
      <c r="W10" s="200">
        <f>W6+W7+W8+W9</f>
        <v>3564</v>
      </c>
      <c r="X10" s="201">
        <f>X6+X7+X8+X9</f>
        <v>6336</v>
      </c>
    </row>
    <row r="11" spans="1:26" s="6" customFormat="1" ht="15" customHeight="1">
      <c r="A11" s="4"/>
      <c r="B11" s="404"/>
      <c r="C11" s="87" t="s">
        <v>169</v>
      </c>
      <c r="D11" s="19" t="s">
        <v>9</v>
      </c>
      <c r="E11" s="178">
        <f>E10*E5</f>
        <v>1166.3596939165952</v>
      </c>
      <c r="F11" s="9"/>
      <c r="G11" s="404"/>
      <c r="H11" s="124" t="s">
        <v>65</v>
      </c>
      <c r="I11" s="125" t="s">
        <v>9</v>
      </c>
      <c r="J11" s="238">
        <f>J5+J9</f>
        <v>68378.717413065766</v>
      </c>
      <c r="K11" s="10"/>
      <c r="L11" s="225" t="s">
        <v>22</v>
      </c>
      <c r="M11" s="197" t="s">
        <v>146</v>
      </c>
      <c r="N11" s="197" t="s">
        <v>52</v>
      </c>
      <c r="O11" s="198" t="s">
        <v>6</v>
      </c>
      <c r="P11" s="199" t="s">
        <v>15</v>
      </c>
      <c r="Q11"/>
      <c r="R11" s="427" t="s">
        <v>36</v>
      </c>
      <c r="S11" s="425" t="s">
        <v>12</v>
      </c>
      <c r="T11" s="426"/>
      <c r="U11" s="425" t="s">
        <v>101</v>
      </c>
      <c r="V11" s="426"/>
      <c r="W11" s="425" t="s">
        <v>15</v>
      </c>
      <c r="X11" s="426"/>
      <c r="Y11" s="21"/>
      <c r="Z11" s="21"/>
    </row>
    <row r="12" spans="1:26" s="6" customFormat="1" ht="15.95" customHeight="1">
      <c r="A12" s="4"/>
      <c r="B12" s="405"/>
      <c r="C12" s="88" t="s">
        <v>66</v>
      </c>
      <c r="D12" s="77" t="s">
        <v>9</v>
      </c>
      <c r="E12" s="221">
        <f>E5-E11</f>
        <v>39615.447785684635</v>
      </c>
      <c r="F12" s="9"/>
      <c r="G12" s="403" t="s">
        <v>23</v>
      </c>
      <c r="H12" s="107" t="s">
        <v>24</v>
      </c>
      <c r="I12" s="99" t="s">
        <v>9</v>
      </c>
      <c r="J12" s="187">
        <f>SUM(J13:J15)</f>
        <v>11530.53147241186</v>
      </c>
      <c r="K12" s="10"/>
      <c r="L12" s="116" t="s">
        <v>10</v>
      </c>
      <c r="M12" s="200">
        <f>M5*'Input &amp; Results'!G5</f>
        <v>1039.8589344</v>
      </c>
      <c r="N12" s="200">
        <f>N5*'Input &amp; Results'!G5</f>
        <v>12.1620928</v>
      </c>
      <c r="O12" s="200">
        <f>O5*'Input &amp; Results'!G5</f>
        <v>27.364708799999999</v>
      </c>
      <c r="P12" s="201">
        <f>P5*'Input &amp; Results'!G5</f>
        <v>86.973957916595339</v>
      </c>
      <c r="Q12" s="33"/>
      <c r="R12" s="428"/>
      <c r="S12" s="239" t="s">
        <v>59</v>
      </c>
      <c r="T12" s="240" t="s">
        <v>60</v>
      </c>
      <c r="U12" s="239" t="s">
        <v>59</v>
      </c>
      <c r="V12" s="240" t="s">
        <v>60</v>
      </c>
      <c r="W12" s="239" t="s">
        <v>59</v>
      </c>
      <c r="X12" s="240" t="s">
        <v>60</v>
      </c>
      <c r="Y12" s="51"/>
      <c r="Z12" s="50"/>
    </row>
    <row r="13" spans="1:26" s="6" customFormat="1" ht="15.95" customHeight="1">
      <c r="A13" s="4"/>
      <c r="B13" s="403" t="s">
        <v>25</v>
      </c>
      <c r="C13" s="81" t="s">
        <v>26</v>
      </c>
      <c r="D13" s="82" t="s">
        <v>9</v>
      </c>
      <c r="E13" s="220">
        <f>SUM(E14:E17)</f>
        <v>70168.676127880259</v>
      </c>
      <c r="F13" s="9"/>
      <c r="G13" s="404"/>
      <c r="H13" s="109" t="s">
        <v>12</v>
      </c>
      <c r="I13" s="14" t="s">
        <v>9</v>
      </c>
      <c r="J13" s="177">
        <f>M19</f>
        <v>9550.5314724118598</v>
      </c>
      <c r="K13" s="10"/>
      <c r="L13" s="116" t="s">
        <v>13</v>
      </c>
      <c r="M13" s="200">
        <f>(M5+M6-M12)*'Input &amp; Results'!G6</f>
        <v>3299.6293878508732</v>
      </c>
      <c r="N13" s="200">
        <f>(N5+N6-N12)*'Input &amp; Results'!G6</f>
        <v>36.641347359254368</v>
      </c>
      <c r="O13" s="200">
        <f>(O5+O6-O12)*'Input &amp; Results'!G6</f>
        <v>255.90898773833209</v>
      </c>
      <c r="P13" s="201">
        <f>(P6+P5-P12)*'Input &amp; Results'!G6</f>
        <v>235.41241113197481</v>
      </c>
      <c r="Q13" s="33"/>
      <c r="R13" s="260" t="s">
        <v>63</v>
      </c>
      <c r="S13" s="215">
        <f>S6/(1-'Input &amp; Results'!G9)</f>
        <v>452.81332378819729</v>
      </c>
      <c r="T13" s="201">
        <f>T6/(1-'Input &amp; Results'!G9)</f>
        <v>67925.904089277567</v>
      </c>
      <c r="U13" s="215">
        <f>U6/(1-'Input &amp; Results'!G9)</f>
        <v>0</v>
      </c>
      <c r="V13" s="201">
        <f>V6/(1-'Input &amp; Results'!G9)</f>
        <v>0</v>
      </c>
      <c r="W13" s="215">
        <f>W6/(1-'Input &amp; Results'!G9)</f>
        <v>0</v>
      </c>
      <c r="X13" s="201">
        <f>X6/(1-'Input &amp; Results'!G9)</f>
        <v>0</v>
      </c>
    </row>
    <row r="14" spans="1:26" s="6" customFormat="1">
      <c r="A14" s="4"/>
      <c r="B14" s="404"/>
      <c r="C14" s="83" t="s">
        <v>163</v>
      </c>
      <c r="D14" s="13" t="s">
        <v>9</v>
      </c>
      <c r="E14" s="174">
        <f>'Input &amp; Results'!C8</f>
        <v>59322.096000000005</v>
      </c>
      <c r="F14" s="9"/>
      <c r="G14" s="404"/>
      <c r="H14" s="109" t="s">
        <v>15</v>
      </c>
      <c r="I14" s="14" t="s">
        <v>9</v>
      </c>
      <c r="J14" s="188">
        <f>O19</f>
        <v>1980</v>
      </c>
      <c r="K14" s="10"/>
      <c r="L14" s="118" t="s">
        <v>21</v>
      </c>
      <c r="M14" s="205">
        <f>M12+M13</f>
        <v>4339.4883222508734</v>
      </c>
      <c r="N14" s="205">
        <f>N12+N13</f>
        <v>48.803440159254365</v>
      </c>
      <c r="O14" s="205">
        <f>O12+O13</f>
        <v>283.2736965383321</v>
      </c>
      <c r="P14" s="206">
        <f>P12+P13</f>
        <v>322.38636904857015</v>
      </c>
      <c r="Q14" s="33"/>
      <c r="R14" s="260" t="s">
        <v>23</v>
      </c>
      <c r="S14" s="215">
        <f>S7/(1-'Input &amp; Results'!G8)</f>
        <v>722.05019595863575</v>
      </c>
      <c r="T14" s="201">
        <f>(T13+T7)/(1-'Input &amp; Results'!G8)</f>
        <v>83519.346219658561</v>
      </c>
      <c r="U14" s="215">
        <f>U7/(1-'Input &amp; Results'!G8)</f>
        <v>0</v>
      </c>
      <c r="V14" s="201">
        <f>(V13+V7)/(1-'Input &amp; Results'!G8)</f>
        <v>0</v>
      </c>
      <c r="W14" s="215">
        <f>W7/(1-'Input &amp; Results'!G8)</f>
        <v>1076.4432029795157</v>
      </c>
      <c r="X14" s="201">
        <f>(X13+X7)/(1-'Input &amp; Results'!G8)</f>
        <v>1076.4432029795157</v>
      </c>
      <c r="Y14" s="50"/>
      <c r="Z14" s="21"/>
    </row>
    <row r="15" spans="1:26" s="6" customFormat="1" ht="14.45" customHeight="1">
      <c r="A15" s="4"/>
      <c r="B15" s="404"/>
      <c r="C15" s="84" t="s">
        <v>114</v>
      </c>
      <c r="D15" s="15" t="s">
        <v>9</v>
      </c>
      <c r="E15" s="175">
        <f>'Input &amp; Results'!C14</f>
        <v>6410.6136000000006</v>
      </c>
      <c r="G15" s="404"/>
      <c r="H15" s="109" t="s">
        <v>18</v>
      </c>
      <c r="I15" s="14" t="s">
        <v>9</v>
      </c>
      <c r="J15" s="177">
        <f>N19</f>
        <v>0</v>
      </c>
      <c r="K15" s="10"/>
      <c r="L15" s="24"/>
      <c r="M15" s="207"/>
      <c r="N15" s="207"/>
      <c r="O15" s="207"/>
      <c r="P15" s="207"/>
      <c r="Q15" s="33"/>
      <c r="R15" s="260" t="s">
        <v>29</v>
      </c>
      <c r="S15" s="215">
        <f>S8/(1-'Input &amp; Results'!G7)</f>
        <v>913.12781669264791</v>
      </c>
      <c r="T15" s="201">
        <f>(T14+T8)/(1-'Input &amp; Results'!G7)</f>
        <v>93427.756957951366</v>
      </c>
      <c r="U15" s="215">
        <f>(U8/(1-'Input &amp; Results'!G7))</f>
        <v>0</v>
      </c>
      <c r="V15" s="201">
        <f>((V14+V8)/(1-'Input &amp; Results'!G7))</f>
        <v>0</v>
      </c>
      <c r="W15" s="215">
        <f>W8/(1-'Input &amp; Results'!G7)</f>
        <v>2738.8689799143503</v>
      </c>
      <c r="X15" s="201">
        <f>(X14+X8)/(1-'Input &amp; Results'!G7)</f>
        <v>1566.7556384329157</v>
      </c>
      <c r="Z15" s="21"/>
    </row>
    <row r="16" spans="1:26" s="6" customFormat="1" ht="15.95" customHeight="1">
      <c r="A16" s="4"/>
      <c r="B16" s="404"/>
      <c r="C16" s="133" t="s">
        <v>164</v>
      </c>
      <c r="D16" s="13" t="s">
        <v>9</v>
      </c>
      <c r="E16" s="174">
        <f>'Input &amp; Results'!C11</f>
        <v>637.87200000000018</v>
      </c>
      <c r="G16" s="404"/>
      <c r="H16" s="121" t="s">
        <v>27</v>
      </c>
      <c r="I16" s="14" t="s">
        <v>9</v>
      </c>
      <c r="J16" s="177">
        <f>P30</f>
        <v>6937.847259886802</v>
      </c>
      <c r="K16" s="10"/>
      <c r="L16" s="411" t="s">
        <v>139</v>
      </c>
      <c r="M16" s="412"/>
      <c r="N16" s="412"/>
      <c r="O16" s="412"/>
      <c r="P16" s="413"/>
      <c r="Q16" s="24"/>
      <c r="R16" s="264" t="s">
        <v>35</v>
      </c>
      <c r="S16" s="243" t="s">
        <v>56</v>
      </c>
      <c r="T16" s="206">
        <f>T15+T9</f>
        <v>94162.413225059965</v>
      </c>
      <c r="U16" s="243" t="s">
        <v>56</v>
      </c>
      <c r="V16" s="206">
        <f>V15+V9</f>
        <v>5390.0299795520968</v>
      </c>
      <c r="W16" s="243" t="s">
        <v>56</v>
      </c>
      <c r="X16" s="206">
        <f>X15+X9</f>
        <v>6516.7556384329155</v>
      </c>
      <c r="Z16" s="21"/>
    </row>
    <row r="17" spans="1:26" s="6" customFormat="1" ht="18.75" customHeight="1">
      <c r="A17" s="4"/>
      <c r="B17" s="404"/>
      <c r="C17" s="85" t="s">
        <v>145</v>
      </c>
      <c r="D17" s="16" t="s">
        <v>17</v>
      </c>
      <c r="E17" s="176">
        <f>P6</f>
        <v>3798.0945278802506</v>
      </c>
      <c r="G17" s="404"/>
      <c r="H17" s="121" t="s">
        <v>57</v>
      </c>
      <c r="I17" s="22" t="s">
        <v>20</v>
      </c>
      <c r="J17" s="75">
        <f>J16/J18</f>
        <v>7.9885771290202412E-2</v>
      </c>
      <c r="K17" s="53"/>
      <c r="L17" s="224" t="s">
        <v>31</v>
      </c>
      <c r="M17" s="202" t="s">
        <v>12</v>
      </c>
      <c r="N17" s="202" t="s">
        <v>32</v>
      </c>
      <c r="O17" s="203" t="s">
        <v>61</v>
      </c>
      <c r="P17" s="204" t="s">
        <v>21</v>
      </c>
      <c r="R17" s="428" t="s">
        <v>22</v>
      </c>
      <c r="S17" s="431" t="s">
        <v>12</v>
      </c>
      <c r="T17" s="430"/>
      <c r="U17" s="425" t="s">
        <v>101</v>
      </c>
      <c r="V17" s="426"/>
      <c r="W17" s="429" t="s">
        <v>15</v>
      </c>
      <c r="X17" s="430"/>
      <c r="Y17" s="50"/>
      <c r="Z17" s="21"/>
    </row>
    <row r="18" spans="1:26" s="6" customFormat="1">
      <c r="A18" s="4"/>
      <c r="B18" s="404"/>
      <c r="C18" s="86" t="s">
        <v>170</v>
      </c>
      <c r="D18" s="23" t="s">
        <v>20</v>
      </c>
      <c r="E18" s="75">
        <f>'Input &amp; Results'!G6</f>
        <v>3.4864714474507896E-2</v>
      </c>
      <c r="F18" s="21"/>
      <c r="G18" s="405"/>
      <c r="H18" s="126" t="s">
        <v>28</v>
      </c>
      <c r="I18" s="100" t="s">
        <v>17</v>
      </c>
      <c r="J18" s="222">
        <f>J12+J11+J16</f>
        <v>86847.096145364427</v>
      </c>
      <c r="K18" s="10"/>
      <c r="L18" s="262" t="s">
        <v>63</v>
      </c>
      <c r="M18" s="200">
        <f>S6+T6</f>
        <v>58037.845101579762</v>
      </c>
      <c r="N18" s="200">
        <f>U6+V6</f>
        <v>0</v>
      </c>
      <c r="O18" s="200">
        <f>W6+X6</f>
        <v>0</v>
      </c>
      <c r="P18" s="201">
        <f>M18+N18+O18</f>
        <v>58037.845101579762</v>
      </c>
      <c r="R18" s="428"/>
      <c r="S18" s="239" t="s">
        <v>59</v>
      </c>
      <c r="T18" s="240" t="s">
        <v>60</v>
      </c>
      <c r="U18" s="239" t="s">
        <v>59</v>
      </c>
      <c r="V18" s="240" t="s">
        <v>60</v>
      </c>
      <c r="W18" s="241" t="s">
        <v>59</v>
      </c>
      <c r="X18" s="240" t="s">
        <v>60</v>
      </c>
      <c r="Z18" s="21"/>
    </row>
    <row r="19" spans="1:26" s="6" customFormat="1" ht="15.95" customHeight="1">
      <c r="A19" s="4"/>
      <c r="B19" s="405"/>
      <c r="C19" s="90" t="s">
        <v>171</v>
      </c>
      <c r="D19" s="91" t="s">
        <v>9</v>
      </c>
      <c r="E19" s="237">
        <f>(E12+E13)*E18</f>
        <v>3827.5921340804343</v>
      </c>
      <c r="F19" s="9"/>
      <c r="G19" s="403" t="s">
        <v>29</v>
      </c>
      <c r="H19" s="107" t="s">
        <v>30</v>
      </c>
      <c r="I19" s="103" t="s">
        <v>9</v>
      </c>
      <c r="J19" s="187">
        <f>SUM(J20:J22)</f>
        <v>8112.5938697602323</v>
      </c>
      <c r="K19" s="10"/>
      <c r="L19" s="262" t="s">
        <v>23</v>
      </c>
      <c r="M19" s="200">
        <f>S7+T7</f>
        <v>9550.5314724118598</v>
      </c>
      <c r="N19" s="200">
        <f>U7+V7</f>
        <v>0</v>
      </c>
      <c r="O19" s="200">
        <f>W7+X7</f>
        <v>1980</v>
      </c>
      <c r="P19" s="201">
        <f>M19+N19+O19</f>
        <v>11530.53147241186</v>
      </c>
      <c r="R19" s="260" t="s">
        <v>63</v>
      </c>
      <c r="S19" s="215">
        <f t="shared" ref="S19:X19" si="0">S13-S6</f>
        <v>68.478686635011172</v>
      </c>
      <c r="T19" s="201">
        <f t="shared" si="0"/>
        <v>10272.393624850993</v>
      </c>
      <c r="U19" s="215">
        <f t="shared" si="0"/>
        <v>0</v>
      </c>
      <c r="V19" s="201">
        <f t="shared" si="0"/>
        <v>0</v>
      </c>
      <c r="W19" s="200">
        <f t="shared" si="0"/>
        <v>0</v>
      </c>
      <c r="X19" s="201">
        <f t="shared" si="0"/>
        <v>0</v>
      </c>
    </row>
    <row r="20" spans="1:26" s="6" customFormat="1" ht="15.75" customHeight="1">
      <c r="A20" s="4"/>
      <c r="B20" s="403" t="s">
        <v>11</v>
      </c>
      <c r="C20" s="78" t="s">
        <v>54</v>
      </c>
      <c r="D20" s="92" t="s">
        <v>9</v>
      </c>
      <c r="E20" s="183">
        <f>E21+E22+E23+E24+E25+E26</f>
        <v>6015.9705828938659</v>
      </c>
      <c r="F20" s="9"/>
      <c r="G20" s="404"/>
      <c r="H20" s="109" t="s">
        <v>12</v>
      </c>
      <c r="I20" s="14" t="s">
        <v>9</v>
      </c>
      <c r="J20" s="177">
        <f>M20</f>
        <v>5142.5938697602323</v>
      </c>
      <c r="K20" s="10"/>
      <c r="L20" s="262" t="s">
        <v>29</v>
      </c>
      <c r="M20" s="200">
        <f>S8+T8</f>
        <v>5142.5938697602323</v>
      </c>
      <c r="N20" s="200">
        <f>U8+V8</f>
        <v>0</v>
      </c>
      <c r="O20" s="200">
        <f>W8+X8</f>
        <v>2970</v>
      </c>
      <c r="P20" s="201">
        <f>M20+N20+O20</f>
        <v>8112.5938697602323</v>
      </c>
      <c r="R20" s="260" t="s">
        <v>23</v>
      </c>
      <c r="S20" s="215">
        <f>S14-S7</f>
        <v>57.983859694489865</v>
      </c>
      <c r="T20" s="201">
        <f>T14-T13-T7</f>
        <v>6706.9769942332805</v>
      </c>
      <c r="U20" s="215">
        <f>U14-U7</f>
        <v>0</v>
      </c>
      <c r="V20" s="201">
        <f>V14-V7-V13</f>
        <v>0</v>
      </c>
      <c r="W20" s="200">
        <f>W14-W7</f>
        <v>86.443202979515718</v>
      </c>
      <c r="X20" s="201">
        <f>X14-X7-X13</f>
        <v>86.443202979515718</v>
      </c>
      <c r="Y20" s="52"/>
    </row>
    <row r="21" spans="1:26" s="6" customFormat="1" ht="15" customHeight="1">
      <c r="A21" s="4"/>
      <c r="B21" s="404"/>
      <c r="C21" s="24" t="s">
        <v>147</v>
      </c>
      <c r="D21" s="24" t="s">
        <v>9</v>
      </c>
      <c r="E21" s="181">
        <f>'Input &amp; Results'!C15</f>
        <v>956.80799999999999</v>
      </c>
      <c r="F21" s="25"/>
      <c r="G21" s="404"/>
      <c r="H21" s="109" t="s">
        <v>15</v>
      </c>
      <c r="I21" s="14" t="s">
        <v>9</v>
      </c>
      <c r="J21" s="188">
        <f>O20</f>
        <v>2970</v>
      </c>
      <c r="K21" s="10"/>
      <c r="L21" s="262" t="s">
        <v>35</v>
      </c>
      <c r="M21" s="200">
        <f>T9</f>
        <v>734.65626710860454</v>
      </c>
      <c r="N21" s="200">
        <f>V9</f>
        <v>5390.0299795520968</v>
      </c>
      <c r="O21" s="200">
        <f>W9+X9</f>
        <v>4950</v>
      </c>
      <c r="P21" s="201">
        <f>M21+N21+O21</f>
        <v>11074.686246660702</v>
      </c>
      <c r="R21" s="264" t="s">
        <v>29</v>
      </c>
      <c r="S21" s="216">
        <f>S15-S8</f>
        <v>54.966649654866956</v>
      </c>
      <c r="T21" s="206">
        <f>T15-T14-T8</f>
        <v>5623.9780355703533</v>
      </c>
      <c r="U21" s="216">
        <f>U15-U8</f>
        <v>0</v>
      </c>
      <c r="V21" s="206">
        <f>V15-V8-V14</f>
        <v>0</v>
      </c>
      <c r="W21" s="205">
        <f>W15-W8</f>
        <v>164.86897991435035</v>
      </c>
      <c r="X21" s="206">
        <f>X15-X8-X14</f>
        <v>94.312435453399985</v>
      </c>
      <c r="Y21" s="52"/>
    </row>
    <row r="22" spans="1:26" s="6" customFormat="1" ht="18.75" customHeight="1">
      <c r="A22" s="4"/>
      <c r="B22" s="405"/>
      <c r="C22" s="93" t="s">
        <v>145</v>
      </c>
      <c r="D22" s="93" t="s">
        <v>9</v>
      </c>
      <c r="E22" s="182">
        <f>P7</f>
        <v>2738.8689799143503</v>
      </c>
      <c r="F22" s="18"/>
      <c r="G22" s="404"/>
      <c r="H22" s="109" t="s">
        <v>18</v>
      </c>
      <c r="I22" s="14" t="s">
        <v>9</v>
      </c>
      <c r="J22" s="177">
        <f>N20</f>
        <v>0</v>
      </c>
      <c r="K22" s="10"/>
      <c r="L22" s="263" t="s">
        <v>21</v>
      </c>
      <c r="M22" s="205">
        <f>M21+M20+M19+M18</f>
        <v>73465.626710860466</v>
      </c>
      <c r="N22" s="205">
        <f>N21+N20+N19+N18</f>
        <v>5390.0299795520968</v>
      </c>
      <c r="O22" s="205">
        <f>O21+O20+O19+O18</f>
        <v>9900</v>
      </c>
      <c r="P22" s="206">
        <f>SUM(P18:P21)</f>
        <v>88755.656690412565</v>
      </c>
      <c r="S22" s="208"/>
      <c r="T22" s="208"/>
      <c r="U22" s="208"/>
      <c r="V22" s="208"/>
      <c r="W22" s="208"/>
      <c r="X22" s="208"/>
      <c r="Y22" s="52"/>
    </row>
    <row r="23" spans="1:26" s="6" customFormat="1" ht="15" customHeight="1">
      <c r="A23" s="4"/>
      <c r="B23" s="403" t="s">
        <v>14</v>
      </c>
      <c r="C23" s="24" t="s">
        <v>115</v>
      </c>
      <c r="D23" s="94" t="s">
        <v>9</v>
      </c>
      <c r="E23" s="183">
        <f>'Input &amp; Results'!C16</f>
        <v>765.44640000000004</v>
      </c>
      <c r="F23" s="27"/>
      <c r="G23" s="404"/>
      <c r="H23" s="122" t="s">
        <v>33</v>
      </c>
      <c r="I23" s="28" t="s">
        <v>9</v>
      </c>
      <c r="J23" s="177">
        <f>P31</f>
        <v>5938.1261005929709</v>
      </c>
      <c r="K23" s="10"/>
      <c r="L23" s="224" t="s">
        <v>36</v>
      </c>
      <c r="M23" s="202" t="s">
        <v>12</v>
      </c>
      <c r="N23" s="202" t="s">
        <v>32</v>
      </c>
      <c r="O23" s="203" t="s">
        <v>61</v>
      </c>
      <c r="P23" s="204" t="s">
        <v>21</v>
      </c>
      <c r="S23" s="208"/>
      <c r="T23" s="208"/>
      <c r="U23" s="208"/>
      <c r="V23" s="208"/>
      <c r="W23" s="208"/>
      <c r="X23" s="208"/>
      <c r="Y23" s="44"/>
    </row>
    <row r="24" spans="1:26" s="6" customFormat="1" ht="14.25" customHeight="1">
      <c r="A24" s="4"/>
      <c r="B24" s="405"/>
      <c r="C24" s="93" t="s">
        <v>19</v>
      </c>
      <c r="D24" s="93" t="s">
        <v>9</v>
      </c>
      <c r="E24" s="184">
        <f>P8</f>
        <v>1076.4432029795157</v>
      </c>
      <c r="F24" s="29"/>
      <c r="G24" s="404"/>
      <c r="H24" s="121" t="s">
        <v>58</v>
      </c>
      <c r="I24" s="17" t="s">
        <v>20</v>
      </c>
      <c r="J24" s="75">
        <f>J23/J25</f>
        <v>5.8852870450463037E-2</v>
      </c>
      <c r="K24" s="53"/>
      <c r="L24" s="262" t="s">
        <v>63</v>
      </c>
      <c r="M24" s="200">
        <f>S13+T13</f>
        <v>68378.717413065766</v>
      </c>
      <c r="N24" s="200">
        <f>U13+V13</f>
        <v>0</v>
      </c>
      <c r="O24" s="200">
        <f>W13+X13</f>
        <v>0</v>
      </c>
      <c r="P24" s="201">
        <f>M24+N24+O24</f>
        <v>68378.717413065766</v>
      </c>
      <c r="S24" s="208"/>
      <c r="T24" s="208"/>
      <c r="U24" s="208"/>
      <c r="V24" s="208"/>
      <c r="W24" s="208"/>
      <c r="X24" s="208"/>
      <c r="Y24" s="43"/>
    </row>
    <row r="25" spans="1:26" s="6" customFormat="1">
      <c r="A25" s="4"/>
      <c r="B25" s="403" t="s">
        <v>16</v>
      </c>
      <c r="C25" s="24" t="s">
        <v>115</v>
      </c>
      <c r="D25" s="95" t="s">
        <v>9</v>
      </c>
      <c r="E25" s="236">
        <f>'Input &amp; Results'!C17</f>
        <v>478.404</v>
      </c>
      <c r="F25" s="24"/>
      <c r="G25" s="405"/>
      <c r="H25" s="128" t="s">
        <v>34</v>
      </c>
      <c r="I25" s="104" t="s">
        <v>17</v>
      </c>
      <c r="J25" s="222">
        <f>J19+J18+J23</f>
        <v>100897.81611571762</v>
      </c>
      <c r="K25" s="10"/>
      <c r="L25" s="262" t="s">
        <v>23</v>
      </c>
      <c r="M25" s="200">
        <f>S14+T14</f>
        <v>84241.396415617201</v>
      </c>
      <c r="N25" s="200">
        <f>U14+V14</f>
        <v>0</v>
      </c>
      <c r="O25" s="200">
        <f>W14+X14</f>
        <v>2152.8864059590314</v>
      </c>
      <c r="P25" s="201">
        <f>M25+N25+O25</f>
        <v>86394.282821576227</v>
      </c>
      <c r="S25" s="208"/>
      <c r="T25" s="208"/>
      <c r="U25" s="208"/>
      <c r="V25" s="208"/>
      <c r="W25" s="208"/>
      <c r="X25" s="208"/>
      <c r="Y25" s="43"/>
    </row>
    <row r="26" spans="1:26" s="6" customFormat="1" ht="15.75" customHeight="1">
      <c r="A26" s="4"/>
      <c r="B26" s="405"/>
      <c r="C26" s="93" t="s">
        <v>19</v>
      </c>
      <c r="D26" s="76" t="s">
        <v>9</v>
      </c>
      <c r="E26" s="186">
        <f>P9</f>
        <v>0</v>
      </c>
      <c r="F26" s="5"/>
      <c r="G26" s="404" t="s">
        <v>35</v>
      </c>
      <c r="H26" s="127" t="s">
        <v>161</v>
      </c>
      <c r="I26" s="102" t="s">
        <v>17</v>
      </c>
      <c r="J26" s="177">
        <f>SUM(J27:J29)</f>
        <v>11074.686246660702</v>
      </c>
      <c r="K26" s="10"/>
      <c r="L26" s="262" t="s">
        <v>29</v>
      </c>
      <c r="M26" s="200">
        <f>S15+T15</f>
        <v>94340.884774644015</v>
      </c>
      <c r="N26" s="200">
        <f>U15+V15</f>
        <v>0</v>
      </c>
      <c r="O26" s="200">
        <f>W15+X15</f>
        <v>4305.6246183472658</v>
      </c>
      <c r="P26" s="201">
        <f>M26+N26+O26</f>
        <v>98646.509392991284</v>
      </c>
      <c r="S26" s="208"/>
      <c r="T26" s="208"/>
      <c r="U26" s="208"/>
      <c r="V26" s="208"/>
      <c r="W26" s="208"/>
      <c r="X26" s="209"/>
      <c r="Y26" s="43"/>
    </row>
    <row r="27" spans="1:26" s="6" customFormat="1">
      <c r="A27" s="4"/>
      <c r="B27" s="409"/>
      <c r="C27" s="266" t="s">
        <v>165</v>
      </c>
      <c r="D27" s="120" t="s">
        <v>9</v>
      </c>
      <c r="E27" s="183">
        <f>E12+E13-E19+E20</f>
        <v>111972.50236237832</v>
      </c>
      <c r="F27" s="24"/>
      <c r="G27" s="404"/>
      <c r="H27" s="109" t="s">
        <v>12</v>
      </c>
      <c r="I27" s="14" t="s">
        <v>9</v>
      </c>
      <c r="J27" s="177">
        <f>M21</f>
        <v>734.65626710860454</v>
      </c>
      <c r="K27" s="10"/>
      <c r="L27" s="265" t="s">
        <v>35</v>
      </c>
      <c r="M27" s="205">
        <f>T16</f>
        <v>94162.413225059965</v>
      </c>
      <c r="N27" s="205">
        <f>V16</f>
        <v>5390.0299795520968</v>
      </c>
      <c r="O27" s="205">
        <f>X16</f>
        <v>6516.7556384329155</v>
      </c>
      <c r="P27" s="206">
        <f>M27+N27+O27</f>
        <v>106069.19884304499</v>
      </c>
      <c r="S27" s="208"/>
      <c r="T27" s="208"/>
      <c r="U27" s="208"/>
      <c r="V27" s="208"/>
      <c r="W27" s="208"/>
      <c r="X27" s="209"/>
      <c r="Y27" s="44"/>
    </row>
    <row r="28" spans="1:26" s="6" customFormat="1" ht="14.45" customHeight="1">
      <c r="A28" s="4"/>
      <c r="B28" s="410"/>
      <c r="C28" s="140" t="s">
        <v>39</v>
      </c>
      <c r="D28" s="76" t="s">
        <v>9</v>
      </c>
      <c r="E28" s="256">
        <f>E27-J30</f>
        <v>0</v>
      </c>
      <c r="F28" s="31"/>
      <c r="G28" s="404"/>
      <c r="H28" s="109" t="s">
        <v>15</v>
      </c>
      <c r="I28" s="14" t="s">
        <v>9</v>
      </c>
      <c r="J28" s="188">
        <f>O21</f>
        <v>4950</v>
      </c>
      <c r="K28" s="10"/>
      <c r="L28" s="227" t="s">
        <v>38</v>
      </c>
      <c r="M28" s="197" t="s">
        <v>12</v>
      </c>
      <c r="N28" s="197" t="s">
        <v>32</v>
      </c>
      <c r="O28" s="203" t="s">
        <v>61</v>
      </c>
      <c r="P28" s="199" t="s">
        <v>21</v>
      </c>
      <c r="S28" s="208"/>
      <c r="T28" s="208"/>
      <c r="U28" s="208"/>
      <c r="V28" s="208"/>
      <c r="W28" s="208"/>
      <c r="X28" s="209"/>
      <c r="Y28"/>
    </row>
    <row r="29" spans="1:26" s="6" customFormat="1" ht="15" customHeight="1" thickBot="1">
      <c r="A29" s="4"/>
      <c r="F29" s="31"/>
      <c r="G29" s="404"/>
      <c r="H29" s="109" t="s">
        <v>18</v>
      </c>
      <c r="I29" s="14" t="s">
        <v>9</v>
      </c>
      <c r="J29" s="177">
        <f>V9</f>
        <v>5390.0299795520968</v>
      </c>
      <c r="K29" s="10"/>
      <c r="L29" s="262" t="s">
        <v>63</v>
      </c>
      <c r="M29" s="200">
        <f>S19+T19</f>
        <v>10340.872311486004</v>
      </c>
      <c r="N29" s="200">
        <f>U19+V19</f>
        <v>0</v>
      </c>
      <c r="O29" s="200">
        <f>W19+X19</f>
        <v>0</v>
      </c>
      <c r="P29" s="201">
        <f>M29+N29+O29</f>
        <v>10340.872311486004</v>
      </c>
      <c r="S29" s="208"/>
      <c r="T29" s="208"/>
      <c r="U29" s="208"/>
      <c r="V29" s="208"/>
      <c r="W29" s="208"/>
      <c r="X29" s="209"/>
      <c r="Y29" s="36"/>
    </row>
    <row r="30" spans="1:26" s="6" customFormat="1" ht="18.95" customHeight="1">
      <c r="A30" s="24"/>
      <c r="B30" s="26"/>
      <c r="C30" s="414" t="s">
        <v>37</v>
      </c>
      <c r="D30" s="415"/>
      <c r="E30" s="416"/>
      <c r="F30" s="31"/>
      <c r="G30" s="405"/>
      <c r="H30" s="123" t="s">
        <v>167</v>
      </c>
      <c r="I30" s="97"/>
      <c r="J30" s="223">
        <f>J26+J25</f>
        <v>111972.50236237832</v>
      </c>
      <c r="K30" s="10"/>
      <c r="L30" s="262" t="s">
        <v>23</v>
      </c>
      <c r="M30" s="200">
        <f>S20+T20</f>
        <v>6764.9608539277706</v>
      </c>
      <c r="N30" s="200">
        <f>U20+V20</f>
        <v>0</v>
      </c>
      <c r="O30" s="200">
        <f>W20+X20</f>
        <v>172.88640595903144</v>
      </c>
      <c r="P30" s="201">
        <f>M30+N30+O30</f>
        <v>6937.847259886802</v>
      </c>
      <c r="S30" s="208"/>
      <c r="T30" s="208"/>
      <c r="U30" s="208"/>
      <c r="V30" s="208"/>
      <c r="W30" s="208"/>
      <c r="X30" s="209"/>
      <c r="Y30" s="36"/>
    </row>
    <row r="31" spans="1:26" s="6" customFormat="1">
      <c r="A31" s="24"/>
      <c r="B31" s="408"/>
      <c r="C31" s="11" t="s">
        <v>40</v>
      </c>
      <c r="D31" s="390">
        <f>E27+E19</f>
        <v>115800.09449645875</v>
      </c>
      <c r="E31" s="391"/>
      <c r="F31" s="31"/>
      <c r="G31" s="24"/>
      <c r="H31" s="24"/>
      <c r="I31" s="24"/>
      <c r="J31" s="24"/>
      <c r="K31" s="10"/>
      <c r="L31" s="265" t="s">
        <v>29</v>
      </c>
      <c r="M31" s="205">
        <f>S21+T21</f>
        <v>5678.9446852252204</v>
      </c>
      <c r="N31" s="205">
        <f>U21+V21</f>
        <v>0</v>
      </c>
      <c r="O31" s="205">
        <f>W21+X21</f>
        <v>259.18141536775033</v>
      </c>
      <c r="P31" s="206">
        <f>M31+N31+O31</f>
        <v>5938.1261005929709</v>
      </c>
      <c r="S31" s="208"/>
      <c r="T31" s="208"/>
      <c r="U31" s="208"/>
      <c r="V31" s="208"/>
      <c r="W31" s="208"/>
      <c r="X31" s="196"/>
      <c r="Y31" s="36"/>
    </row>
    <row r="32" spans="1:26" s="6" customFormat="1" ht="16.5" customHeight="1">
      <c r="A32" s="24"/>
      <c r="B32" s="408"/>
      <c r="C32" s="11" t="s">
        <v>41</v>
      </c>
      <c r="D32" s="390">
        <f>J26+J19+J12+J5</f>
        <v>88755.65669041255</v>
      </c>
      <c r="E32" s="391"/>
      <c r="F32" s="26"/>
      <c r="G32" s="24"/>
      <c r="J32" s="24"/>
      <c r="K32" s="10"/>
      <c r="M32" s="208"/>
      <c r="N32" s="208"/>
      <c r="O32" s="208"/>
      <c r="P32" s="208"/>
      <c r="S32" s="208"/>
      <c r="T32" s="208"/>
      <c r="U32" s="208"/>
      <c r="V32" s="208"/>
      <c r="W32" s="208"/>
      <c r="X32" s="217"/>
      <c r="Y32" s="36"/>
    </row>
    <row r="33" spans="1:29" ht="15.75" thickBot="1">
      <c r="A33" s="31"/>
      <c r="B33" s="420"/>
      <c r="C33" s="144" t="s">
        <v>42</v>
      </c>
      <c r="D33" s="392">
        <f>(D31-D32-E28)/D31</f>
        <v>0.2335441773484325</v>
      </c>
      <c r="E33" s="393"/>
      <c r="F33" s="26"/>
      <c r="G33" s="24"/>
      <c r="I33" s="32"/>
      <c r="J33" s="24"/>
      <c r="K33" s="10"/>
      <c r="S33" s="208"/>
      <c r="T33" s="208"/>
      <c r="X33" s="217"/>
      <c r="Y33" s="36"/>
    </row>
    <row r="34" spans="1:29" ht="15" customHeight="1">
      <c r="A34" s="31"/>
      <c r="B34" s="420"/>
      <c r="C34" s="40"/>
      <c r="D34" s="16"/>
      <c r="E34" s="31"/>
      <c r="F34" s="26"/>
      <c r="G34" s="24"/>
      <c r="J34" s="24"/>
      <c r="K34" s="10"/>
      <c r="X34" s="219"/>
      <c r="Y34" s="36"/>
    </row>
    <row r="35" spans="1:29" ht="15" customHeight="1" thickBot="1">
      <c r="A35" s="31"/>
      <c r="B35" s="408"/>
      <c r="C35" s="40"/>
      <c r="D35" s="16"/>
      <c r="E35" s="31"/>
      <c r="F35" s="26"/>
      <c r="G35" s="24"/>
      <c r="J35" s="24"/>
      <c r="K35" s="10"/>
      <c r="X35" s="217"/>
      <c r="Y35" s="36"/>
    </row>
    <row r="36" spans="1:29" ht="15" customHeight="1">
      <c r="A36" s="31"/>
      <c r="B36" s="408"/>
      <c r="C36" s="414" t="s">
        <v>78</v>
      </c>
      <c r="D36" s="415"/>
      <c r="E36" s="416"/>
      <c r="F36" s="26"/>
      <c r="G36" s="24"/>
      <c r="H36" s="24"/>
      <c r="I36" s="24"/>
      <c r="J36" s="24"/>
      <c r="K36" s="10"/>
      <c r="X36" s="217"/>
      <c r="Y36" s="36"/>
    </row>
    <row r="37" spans="1:29" ht="15.95" customHeight="1">
      <c r="A37" s="31"/>
      <c r="B37" s="46"/>
      <c r="C37" s="11" t="s">
        <v>40</v>
      </c>
      <c r="D37" s="390">
        <f>M30+M31+M29+N29+N31+N30+D38</f>
        <v>101640.43454105157</v>
      </c>
      <c r="E37" s="391"/>
      <c r="F37" s="26"/>
      <c r="G37" s="24"/>
      <c r="H37" s="24"/>
      <c r="I37" s="24"/>
      <c r="J37" s="24"/>
      <c r="K37" s="10"/>
      <c r="X37" s="217"/>
    </row>
    <row r="38" spans="1:29" ht="15" customHeight="1">
      <c r="A38" s="31"/>
      <c r="B38" s="46"/>
      <c r="C38" s="11" t="s">
        <v>41</v>
      </c>
      <c r="D38" s="390">
        <f>M22+N22</f>
        <v>78855.656690412565</v>
      </c>
      <c r="E38" s="391"/>
      <c r="F38" s="26"/>
      <c r="G38" s="24"/>
      <c r="H38" s="24"/>
      <c r="I38" s="24"/>
      <c r="J38" s="24"/>
      <c r="K38" s="10"/>
      <c r="U38" s="196"/>
      <c r="V38" s="196"/>
      <c r="W38" s="196"/>
      <c r="X38" s="217"/>
    </row>
    <row r="39" spans="1:29" ht="15" customHeight="1" thickBot="1">
      <c r="A39" s="31"/>
      <c r="B39" s="24"/>
      <c r="C39" s="144" t="s">
        <v>110</v>
      </c>
      <c r="D39" s="392">
        <f>(D37-(D38*'Input &amp; Results'!G12))/D37</f>
        <v>0.30175336870773423</v>
      </c>
      <c r="E39" s="393"/>
      <c r="F39" s="26"/>
      <c r="G39" s="24"/>
      <c r="H39" s="24"/>
      <c r="I39" s="24"/>
      <c r="J39" s="24"/>
      <c r="K39" s="10"/>
      <c r="R39" s="24"/>
      <c r="S39" s="196"/>
      <c r="T39" s="196"/>
      <c r="U39" s="432"/>
      <c r="V39" s="432"/>
      <c r="W39" s="432"/>
      <c r="X39" s="217"/>
    </row>
    <row r="40" spans="1:29" ht="15" customHeight="1">
      <c r="A40" s="31"/>
      <c r="B40" s="24"/>
      <c r="C40" s="40"/>
      <c r="D40" s="16"/>
      <c r="E40" s="31"/>
      <c r="F40" s="26"/>
      <c r="G40" s="24"/>
      <c r="H40" s="24"/>
      <c r="I40" s="24"/>
      <c r="J40" s="24"/>
      <c r="K40" s="10"/>
      <c r="R40" s="24"/>
      <c r="S40" s="432"/>
      <c r="T40" s="432"/>
      <c r="U40" s="218"/>
      <c r="V40" s="217"/>
      <c r="W40" s="217"/>
      <c r="X40" s="196"/>
      <c r="AA40" s="36"/>
      <c r="AB40" s="36"/>
      <c r="AC40" s="36"/>
    </row>
    <row r="41" spans="1:29" ht="14.45" customHeight="1">
      <c r="A41" s="31"/>
      <c r="B41" s="406" t="s">
        <v>173</v>
      </c>
      <c r="C41" s="406"/>
      <c r="D41" s="406"/>
      <c r="E41" s="406"/>
      <c r="F41" s="406"/>
      <c r="G41" s="406"/>
      <c r="H41" s="406"/>
      <c r="I41" s="406"/>
      <c r="J41" s="406"/>
      <c r="K41" s="406"/>
      <c r="L41" s="406"/>
      <c r="M41" s="406"/>
      <c r="N41" s="406"/>
      <c r="O41" s="406"/>
      <c r="P41" s="406"/>
      <c r="Q41" s="406"/>
      <c r="R41" s="406"/>
      <c r="S41" s="406"/>
      <c r="T41" s="406"/>
      <c r="U41" s="406"/>
      <c r="V41" s="217"/>
      <c r="W41" s="217"/>
      <c r="X41" s="196"/>
      <c r="AA41" s="36"/>
      <c r="AB41" s="36"/>
      <c r="AC41" s="36"/>
    </row>
    <row r="42" spans="1:29" ht="33.75" customHeight="1">
      <c r="A42" s="31"/>
      <c r="B42" s="143">
        <v>1</v>
      </c>
      <c r="C42" s="407" t="s">
        <v>98</v>
      </c>
      <c r="D42" s="407"/>
      <c r="E42" s="407"/>
      <c r="F42" s="407"/>
      <c r="G42" s="407"/>
      <c r="H42" s="407"/>
      <c r="I42" s="407"/>
      <c r="J42" s="407"/>
      <c r="K42" s="407"/>
      <c r="L42" s="407"/>
      <c r="M42" s="407"/>
      <c r="N42" s="407"/>
      <c r="O42" s="407"/>
      <c r="P42" s="407"/>
      <c r="Q42" s="407"/>
      <c r="R42" s="407"/>
      <c r="S42" s="407"/>
      <c r="T42" s="407"/>
      <c r="U42" s="407"/>
      <c r="V42" s="196"/>
      <c r="W42" s="196"/>
      <c r="X42" s="196"/>
    </row>
    <row r="43" spans="1:29" ht="35.1" customHeight="1">
      <c r="B43" s="143">
        <v>2</v>
      </c>
      <c r="C43" s="389" t="s">
        <v>155</v>
      </c>
      <c r="D43" s="389"/>
      <c r="E43" s="389"/>
      <c r="F43" s="389"/>
      <c r="G43" s="389"/>
      <c r="H43" s="389"/>
      <c r="I43" s="389"/>
      <c r="J43" s="389"/>
      <c r="K43" s="389"/>
      <c r="L43" s="389"/>
      <c r="M43" s="389"/>
      <c r="N43" s="389"/>
      <c r="O43" s="389"/>
      <c r="P43" s="389"/>
      <c r="Q43" s="389"/>
      <c r="R43" s="389"/>
      <c r="S43" s="389"/>
      <c r="T43" s="389"/>
      <c r="U43" s="389"/>
      <c r="V43" s="217"/>
      <c r="W43" s="217"/>
      <c r="X43" s="196"/>
      <c r="AA43" s="36"/>
      <c r="AB43" s="36"/>
      <c r="AC43" s="36"/>
    </row>
    <row r="44" spans="1:29" ht="124.5" customHeight="1">
      <c r="B44" s="258">
        <v>3</v>
      </c>
      <c r="C44" s="389" t="s">
        <v>174</v>
      </c>
      <c r="D44" s="389"/>
      <c r="E44" s="389"/>
      <c r="F44" s="389"/>
      <c r="G44" s="389"/>
      <c r="H44" s="389"/>
      <c r="I44" s="389"/>
      <c r="J44" s="389"/>
      <c r="K44" s="389"/>
      <c r="L44" s="389"/>
      <c r="M44" s="389"/>
      <c r="N44" s="389"/>
      <c r="O44" s="389"/>
      <c r="P44" s="389"/>
      <c r="Q44" s="389"/>
      <c r="R44" s="389"/>
      <c r="S44" s="389"/>
      <c r="T44" s="389"/>
      <c r="U44" s="389"/>
      <c r="V44" s="217"/>
      <c r="W44" s="217"/>
      <c r="X44" s="196"/>
      <c r="AA44" s="36"/>
      <c r="AB44" s="36"/>
      <c r="AC44" s="36"/>
    </row>
    <row r="45" spans="1:29" ht="21" customHeight="1">
      <c r="B45" s="258">
        <v>4</v>
      </c>
      <c r="C45" s="394" t="s">
        <v>94</v>
      </c>
      <c r="D45" s="394"/>
      <c r="E45" s="394"/>
      <c r="F45" s="394"/>
      <c r="G45" s="394"/>
      <c r="H45" s="394"/>
      <c r="I45" s="394"/>
      <c r="J45" s="394"/>
      <c r="K45" s="394"/>
      <c r="L45" s="394"/>
      <c r="M45" s="394"/>
      <c r="N45" s="394"/>
      <c r="O45" s="394"/>
      <c r="P45" s="394"/>
      <c r="Q45" s="394"/>
      <c r="R45" s="394"/>
      <c r="S45" s="394"/>
      <c r="T45" s="394"/>
      <c r="U45" s="394"/>
      <c r="V45" s="217"/>
      <c r="W45" s="217"/>
      <c r="X45" s="196"/>
    </row>
    <row r="46" spans="1:29" ht="15" customHeight="1">
      <c r="U46" s="196"/>
      <c r="V46" s="196"/>
      <c r="W46" s="196"/>
      <c r="X46" s="196"/>
    </row>
    <row r="47" spans="1:29">
      <c r="V47" s="196"/>
      <c r="W47" s="196"/>
    </row>
    <row r="48" spans="1:29">
      <c r="V48" s="196"/>
      <c r="W48" s="196"/>
    </row>
    <row r="49" spans="22:23">
      <c r="V49" s="196"/>
      <c r="W49" s="196"/>
    </row>
  </sheetData>
  <sheetProtection password="9993" sheet="1" objects="1" scenarios="1" formatCells="0" formatColumns="0" formatRows="0"/>
  <dataConsolidate/>
  <mergeCells count="48">
    <mergeCell ref="D37:E37"/>
    <mergeCell ref="D38:E38"/>
    <mergeCell ref="D39:E39"/>
    <mergeCell ref="U39:W39"/>
    <mergeCell ref="S40:T40"/>
    <mergeCell ref="B31:B32"/>
    <mergeCell ref="U17:V17"/>
    <mergeCell ref="W17:X17"/>
    <mergeCell ref="U11:V11"/>
    <mergeCell ref="L16:P16"/>
    <mergeCell ref="S17:T17"/>
    <mergeCell ref="B33:B34"/>
    <mergeCell ref="B35:B36"/>
    <mergeCell ref="R17:R18"/>
    <mergeCell ref="C30:E30"/>
    <mergeCell ref="C36:E36"/>
    <mergeCell ref="D31:E31"/>
    <mergeCell ref="D32:E32"/>
    <mergeCell ref="D33:E33"/>
    <mergeCell ref="B20:B22"/>
    <mergeCell ref="G12:G18"/>
    <mergeCell ref="B13:B19"/>
    <mergeCell ref="G19:G25"/>
    <mergeCell ref="B25:B26"/>
    <mergeCell ref="G26:G30"/>
    <mergeCell ref="B27:B28"/>
    <mergeCell ref="B23:B24"/>
    <mergeCell ref="B1:J1"/>
    <mergeCell ref="L1:P1"/>
    <mergeCell ref="R1:X1"/>
    <mergeCell ref="S11:T11"/>
    <mergeCell ref="R11:R12"/>
    <mergeCell ref="W11:X11"/>
    <mergeCell ref="B3:E3"/>
    <mergeCell ref="G3:J3"/>
    <mergeCell ref="B5:B12"/>
    <mergeCell ref="G5:G11"/>
    <mergeCell ref="R3:X3"/>
    <mergeCell ref="R4:R5"/>
    <mergeCell ref="S4:T4"/>
    <mergeCell ref="U4:V4"/>
    <mergeCell ref="W4:X4"/>
    <mergeCell ref="L3:P3"/>
    <mergeCell ref="B41:U41"/>
    <mergeCell ref="C42:U42"/>
    <mergeCell ref="C43:U43"/>
    <mergeCell ref="C44:U44"/>
    <mergeCell ref="C45:U45"/>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AC60"/>
  <sheetViews>
    <sheetView showGridLines="0" zoomScale="80" zoomScaleNormal="80" zoomScalePageLayoutView="82" workbookViewId="0">
      <selection activeCell="Z19" sqref="Z19"/>
    </sheetView>
  </sheetViews>
  <sheetFormatPr defaultColWidth="8.85546875" defaultRowHeight="15"/>
  <cols>
    <col min="1" max="1" width="2" style="1" customWidth="1"/>
    <col min="2" max="2" width="4" style="1" customWidth="1"/>
    <col min="3" max="3" width="33.28515625" style="2" customWidth="1"/>
    <col min="4" max="4" width="6.42578125" style="3" customWidth="1"/>
    <col min="5" max="5" width="8.7109375" style="1" customWidth="1"/>
    <col min="6" max="6" width="3.140625" style="1" customWidth="1"/>
    <col min="7" max="7" width="4" style="1" customWidth="1"/>
    <col min="8" max="8" width="25.42578125" style="1" customWidth="1"/>
    <col min="9" max="9" width="6.140625" style="1" customWidth="1"/>
    <col min="10" max="10" width="7.85546875" style="1" customWidth="1"/>
    <col min="11" max="11" width="3" style="1" customWidth="1"/>
    <col min="12" max="12" width="9.7109375" style="1" customWidth="1"/>
    <col min="13" max="13" width="10" style="209" customWidth="1"/>
    <col min="14" max="14" width="10.5703125" style="209" customWidth="1"/>
    <col min="15" max="15" width="12.5703125" style="209" customWidth="1"/>
    <col min="16" max="16" width="14.42578125" style="209" customWidth="1"/>
    <col min="17" max="17" width="3.140625" style="1" customWidth="1"/>
    <col min="18" max="18" width="9.28515625" style="1" customWidth="1"/>
    <col min="19" max="19" width="10.28515625" style="1" customWidth="1"/>
    <col min="20" max="20" width="10.5703125" style="1" customWidth="1"/>
    <col min="21" max="21" width="11.140625" style="1" customWidth="1"/>
    <col min="22" max="22" width="10.140625" style="1" customWidth="1"/>
    <col min="23" max="23" width="10.42578125" style="1" customWidth="1"/>
    <col min="24" max="24" width="14.28515625" style="1" customWidth="1"/>
    <col min="25" max="25" width="13" customWidth="1"/>
    <col min="26" max="26" width="13.140625" bestFit="1" customWidth="1"/>
    <col min="27" max="27" width="15.42578125" customWidth="1"/>
    <col min="28" max="28" width="10.140625" customWidth="1"/>
    <col min="29" max="29" width="10.85546875" bestFit="1" customWidth="1"/>
    <col min="30" max="30" width="12.42578125" customWidth="1"/>
    <col min="31" max="31" width="16.140625" customWidth="1"/>
    <col min="32" max="32" width="9.140625" customWidth="1"/>
    <col min="33" max="33" width="9.85546875" customWidth="1"/>
    <col min="34" max="34" width="14.140625" customWidth="1"/>
    <col min="35" max="35" width="18.42578125" customWidth="1"/>
    <col min="36" max="36" width="13.85546875" customWidth="1"/>
  </cols>
  <sheetData>
    <row r="1" spans="1:28">
      <c r="B1" s="417" t="s">
        <v>136</v>
      </c>
      <c r="C1" s="417"/>
      <c r="D1" s="417"/>
      <c r="E1" s="417"/>
      <c r="F1" s="417"/>
      <c r="G1" s="417"/>
      <c r="H1" s="417"/>
      <c r="I1" s="417"/>
      <c r="J1" s="417"/>
      <c r="L1" s="419" t="s">
        <v>137</v>
      </c>
      <c r="M1" s="419"/>
      <c r="N1" s="419"/>
      <c r="O1" s="419"/>
      <c r="P1" s="419"/>
      <c r="R1" s="418" t="s">
        <v>140</v>
      </c>
      <c r="S1" s="418"/>
      <c r="T1" s="418"/>
      <c r="U1" s="418"/>
      <c r="V1" s="418"/>
      <c r="W1" s="418"/>
      <c r="X1" s="418"/>
    </row>
    <row r="2" spans="1:28">
      <c r="L2"/>
      <c r="M2" s="196"/>
      <c r="N2" s="196"/>
      <c r="O2" s="196"/>
      <c r="P2" s="196"/>
      <c r="Q2"/>
      <c r="R2"/>
      <c r="X2"/>
    </row>
    <row r="3" spans="1:28" s="6" customFormat="1" ht="15" customHeight="1">
      <c r="A3" s="4"/>
      <c r="B3" s="411" t="s">
        <v>0</v>
      </c>
      <c r="C3" s="412"/>
      <c r="D3" s="412"/>
      <c r="E3" s="413"/>
      <c r="F3" s="5"/>
      <c r="G3" s="411" t="s">
        <v>1</v>
      </c>
      <c r="H3" s="412"/>
      <c r="I3" s="412"/>
      <c r="J3" s="413"/>
      <c r="K3" s="4"/>
      <c r="L3" s="421" t="s">
        <v>138</v>
      </c>
      <c r="M3" s="422"/>
      <c r="N3" s="422"/>
      <c r="O3" s="422"/>
      <c r="P3" s="423"/>
      <c r="Q3"/>
      <c r="R3" s="411" t="s">
        <v>172</v>
      </c>
      <c r="S3" s="424"/>
      <c r="T3" s="424"/>
      <c r="U3" s="424"/>
      <c r="V3" s="424"/>
      <c r="W3" s="424"/>
      <c r="X3" s="413"/>
      <c r="Y3" s="12"/>
      <c r="Z3" s="12"/>
      <c r="AA3" s="12"/>
      <c r="AB3" s="4"/>
    </row>
    <row r="4" spans="1:28" s="6" customFormat="1">
      <c r="A4" s="4"/>
      <c r="B4" s="129"/>
      <c r="C4" s="78" t="s">
        <v>2</v>
      </c>
      <c r="D4" s="131" t="s">
        <v>3</v>
      </c>
      <c r="E4" s="132" t="s">
        <v>4</v>
      </c>
      <c r="F4" s="7"/>
      <c r="G4" s="269"/>
      <c r="H4" s="130" t="s">
        <v>2</v>
      </c>
      <c r="I4" s="131" t="s">
        <v>3</v>
      </c>
      <c r="J4" s="132" t="s">
        <v>4</v>
      </c>
      <c r="K4" s="4"/>
      <c r="L4" s="225" t="s">
        <v>5</v>
      </c>
      <c r="M4" s="197" t="s">
        <v>146</v>
      </c>
      <c r="N4" s="197" t="s">
        <v>52</v>
      </c>
      <c r="O4" s="198" t="s">
        <v>6</v>
      </c>
      <c r="P4" s="199" t="s">
        <v>15</v>
      </c>
      <c r="Q4" s="8"/>
      <c r="R4" s="399" t="s">
        <v>31</v>
      </c>
      <c r="S4" s="435" t="s">
        <v>12</v>
      </c>
      <c r="T4" s="436"/>
      <c r="U4" s="435" t="s">
        <v>101</v>
      </c>
      <c r="V4" s="436"/>
      <c r="W4" s="437" t="s">
        <v>15</v>
      </c>
      <c r="X4" s="438"/>
      <c r="Y4" s="24"/>
      <c r="Z4" s="12"/>
      <c r="AA4" s="12"/>
      <c r="AB4" s="4"/>
    </row>
    <row r="5" spans="1:28" s="6" customFormat="1" ht="15" customHeight="1">
      <c r="A5" s="4"/>
      <c r="B5" s="403" t="s">
        <v>7</v>
      </c>
      <c r="C5" s="81" t="s">
        <v>8</v>
      </c>
      <c r="D5" s="20" t="s">
        <v>9</v>
      </c>
      <c r="E5" s="247">
        <f>(SUM(E6:E9))</f>
        <v>37740.759999999995</v>
      </c>
      <c r="F5" s="9"/>
      <c r="G5" s="403" t="s">
        <v>63</v>
      </c>
      <c r="H5" s="105" t="s">
        <v>62</v>
      </c>
      <c r="I5" s="108" t="s">
        <v>9</v>
      </c>
      <c r="J5" s="187">
        <f>SUM(J6:J8)</f>
        <v>61317.845101579762</v>
      </c>
      <c r="K5" s="10"/>
      <c r="L5" s="116" t="s">
        <v>10</v>
      </c>
      <c r="M5" s="200">
        <f>'Input &amp; Results'!C7</f>
        <v>36358.703999999998</v>
      </c>
      <c r="N5" s="200">
        <f>'Input &amp; Results'!C10</f>
        <v>425.24799999999999</v>
      </c>
      <c r="O5" s="200">
        <f>'Input &amp; Results'!C13</f>
        <v>956.80799999999999</v>
      </c>
      <c r="P5" s="201">
        <f>((X16*('Input &amp; Results'!H23/('Input &amp; Results'!H23+'Input &amp; Results'!H24)))/(1-'Input &amp; Results'!G5))/(1-'Input &amp; Results'!G6)</f>
        <v>0</v>
      </c>
      <c r="Q5"/>
      <c r="R5" s="400"/>
      <c r="S5" s="234" t="s">
        <v>59</v>
      </c>
      <c r="T5" s="233" t="s">
        <v>60</v>
      </c>
      <c r="U5" s="234" t="s">
        <v>59</v>
      </c>
      <c r="V5" s="233" t="s">
        <v>60</v>
      </c>
      <c r="W5" s="234" t="s">
        <v>59</v>
      </c>
      <c r="X5" s="233" t="s">
        <v>60</v>
      </c>
      <c r="AB5" s="4"/>
    </row>
    <row r="6" spans="1:28" s="6" customFormat="1" ht="20.25" customHeight="1">
      <c r="A6" s="4"/>
      <c r="B6" s="404"/>
      <c r="C6" s="83" t="s">
        <v>163</v>
      </c>
      <c r="D6" s="13" t="s">
        <v>9</v>
      </c>
      <c r="E6" s="174">
        <f>'Input &amp; Results'!C7</f>
        <v>36358.703999999998</v>
      </c>
      <c r="F6" s="9"/>
      <c r="G6" s="404"/>
      <c r="H6" s="30" t="s">
        <v>12</v>
      </c>
      <c r="I6" s="14" t="s">
        <v>9</v>
      </c>
      <c r="J6" s="177">
        <f>'Input &amp; Results'!C22</f>
        <v>58037.845101579762</v>
      </c>
      <c r="K6" s="4"/>
      <c r="L6" s="116" t="s">
        <v>13</v>
      </c>
      <c r="M6" s="200">
        <f>'Input &amp; Results'!C8</f>
        <v>59322.096000000005</v>
      </c>
      <c r="N6" s="200">
        <f>'Input &amp; Results'!C11</f>
        <v>637.87200000000018</v>
      </c>
      <c r="O6" s="200">
        <f>'Input &amp; Results'!C14</f>
        <v>6410.6136000000006</v>
      </c>
      <c r="P6" s="201">
        <f>(X16*('Input &amp; Results'!H24/('Input &amp; Results'!H23+'Input &amp; Results'!H24)))/(1-'Input &amp; Results'!G6)</f>
        <v>0</v>
      </c>
      <c r="Q6" s="33"/>
      <c r="R6" s="260" t="s">
        <v>63</v>
      </c>
      <c r="S6" s="200">
        <f>(O9*(1-'Input &amp; Results'!G9))*'Input &amp; Results'!C22/('Input &amp; Results'!C22+'Input &amp; Results'!C27)</f>
        <v>384.33463715318612</v>
      </c>
      <c r="T6" s="201">
        <f>'Input &amp; Results'!C22-S6</f>
        <v>57653.510464426574</v>
      </c>
      <c r="U6" s="200">
        <f>(O9*(1-'Input &amp; Results'!G9))*('Input &amp; Results'!C27/('Input &amp; Results'!C27+'Input &amp; Results'!C22))</f>
        <v>21.720613638498737</v>
      </c>
      <c r="V6" s="201">
        <f>'Input &amp; Results'!C27-U6</f>
        <v>3258.2793863615011</v>
      </c>
      <c r="W6" s="200">
        <f>'Input &amp; Results'!H27*'Input &amp; Results'!G17</f>
        <v>0</v>
      </c>
      <c r="X6" s="201">
        <f>'Input &amp; Results'!G21-M3SM!W6</f>
        <v>0</v>
      </c>
      <c r="AB6" s="47"/>
    </row>
    <row r="7" spans="1:28" s="6" customFormat="1">
      <c r="A7" s="4"/>
      <c r="B7" s="404"/>
      <c r="C7" s="84" t="s">
        <v>114</v>
      </c>
      <c r="D7" s="15" t="s">
        <v>9</v>
      </c>
      <c r="E7" s="175">
        <f>'Input &amp; Results'!C13</f>
        <v>956.80799999999999</v>
      </c>
      <c r="F7" s="9"/>
      <c r="G7" s="404"/>
      <c r="H7" s="30" t="s">
        <v>15</v>
      </c>
      <c r="I7" s="14" t="s">
        <v>9</v>
      </c>
      <c r="J7" s="188">
        <f>'Input &amp; Results'!G21</f>
        <v>0</v>
      </c>
      <c r="K7" s="4"/>
      <c r="L7" s="117" t="s">
        <v>11</v>
      </c>
      <c r="M7" s="200">
        <v>0</v>
      </c>
      <c r="N7" s="200">
        <v>0</v>
      </c>
      <c r="O7" s="200">
        <f>'Input &amp; Results'!C15</f>
        <v>956.80799999999999</v>
      </c>
      <c r="P7" s="201">
        <f>W15</f>
        <v>0</v>
      </c>
      <c r="Q7"/>
      <c r="R7" s="260" t="s">
        <v>23</v>
      </c>
      <c r="S7" s="200">
        <f>(O8*(1-'Input &amp; Results'!G8))*'Input &amp; Results'!C21/('Input &amp; Results'!C21+'Input &amp; Results'!C26)</f>
        <v>664.06633626414589</v>
      </c>
      <c r="T7" s="201">
        <f>'Input &amp; Results'!C21-S7</f>
        <v>8886.4651361477136</v>
      </c>
      <c r="U7" s="200">
        <f>(O8*(1-'Input &amp; Results'!G8))*('Input &amp; Results'!C26/('Input &amp; Results'!C26+'Input &amp; Results'!C21))</f>
        <v>39.911294791991224</v>
      </c>
      <c r="V7" s="201">
        <f>'Input &amp; Results'!C26-U7</f>
        <v>534.08870520800883</v>
      </c>
      <c r="W7" s="200">
        <v>0</v>
      </c>
      <c r="X7" s="201">
        <v>0</v>
      </c>
      <c r="AB7" s="24"/>
    </row>
    <row r="8" spans="1:28" s="6" customFormat="1">
      <c r="A8" s="4"/>
      <c r="B8" s="404"/>
      <c r="C8" s="133" t="s">
        <v>164</v>
      </c>
      <c r="D8" s="13" t="s">
        <v>17</v>
      </c>
      <c r="E8" s="174">
        <f>'Input &amp; Results'!C10</f>
        <v>425.24799999999999</v>
      </c>
      <c r="F8" s="9"/>
      <c r="G8" s="404"/>
      <c r="H8" s="30" t="s">
        <v>18</v>
      </c>
      <c r="I8" s="14" t="s">
        <v>9</v>
      </c>
      <c r="J8" s="177">
        <f>'Input &amp; Results'!C27</f>
        <v>3280</v>
      </c>
      <c r="K8" s="4"/>
      <c r="L8" s="117" t="s">
        <v>14</v>
      </c>
      <c r="M8" s="200">
        <v>0</v>
      </c>
      <c r="N8" s="200">
        <v>0</v>
      </c>
      <c r="O8" s="200">
        <f>'Input &amp; Results'!C16</f>
        <v>765.44640000000004</v>
      </c>
      <c r="P8" s="201">
        <f>W14</f>
        <v>0</v>
      </c>
      <c r="Q8"/>
      <c r="R8" s="260" t="s">
        <v>29</v>
      </c>
      <c r="S8" s="200">
        <f>(O7*(1-'Input &amp; Results'!G7))*'Input &amp; Results'!C20/('Input &amp; Results'!C20+'Input &amp; Results'!C25)</f>
        <v>858.16116703778096</v>
      </c>
      <c r="T8" s="201">
        <f>'Input &amp; Results'!C20-S8</f>
        <v>4284.4327027224517</v>
      </c>
      <c r="U8" s="200">
        <f>(O7*(1-'Input &amp; Results'!G7))*('Input &amp; Results'!C25/('Input &amp; Results'!C25+'Input &amp; Results'!C20))</f>
        <v>41.050810629371512</v>
      </c>
      <c r="V8" s="201">
        <f>'Input &amp; Results'!C25-U8</f>
        <v>204.94918937062849</v>
      </c>
      <c r="W8" s="200">
        <v>0</v>
      </c>
      <c r="X8" s="201">
        <v>0</v>
      </c>
      <c r="AB8" s="24"/>
    </row>
    <row r="9" spans="1:28" s="6" customFormat="1">
      <c r="A9" s="4"/>
      <c r="B9" s="404"/>
      <c r="C9" s="85" t="s">
        <v>145</v>
      </c>
      <c r="D9" s="16" t="s">
        <v>17</v>
      </c>
      <c r="E9" s="176">
        <f>P5</f>
        <v>0</v>
      </c>
      <c r="F9" s="9"/>
      <c r="G9" s="404"/>
      <c r="H9" s="105" t="s">
        <v>64</v>
      </c>
      <c r="I9" s="14" t="s">
        <v>9</v>
      </c>
      <c r="J9" s="177">
        <f>S20+T20+U20+V20+W20+X20</f>
        <v>10925.28513939699</v>
      </c>
      <c r="K9" s="4"/>
      <c r="L9" s="117" t="s">
        <v>55</v>
      </c>
      <c r="M9" s="200">
        <v>0</v>
      </c>
      <c r="N9" s="200">
        <v>0</v>
      </c>
      <c r="O9" s="200">
        <f>'Input &amp; Results'!C17</f>
        <v>478.404</v>
      </c>
      <c r="P9" s="201">
        <f>W13</f>
        <v>0</v>
      </c>
      <c r="Q9"/>
      <c r="R9" s="260" t="s">
        <v>35</v>
      </c>
      <c r="S9" s="248" t="s">
        <v>56</v>
      </c>
      <c r="T9" s="201">
        <f>'Input &amp; Results'!C19</f>
        <v>734.65626710860454</v>
      </c>
      <c r="U9" s="248" t="s">
        <v>56</v>
      </c>
      <c r="V9" s="201">
        <f>'Input &amp; Results'!C24</f>
        <v>0</v>
      </c>
      <c r="W9" s="200">
        <v>0</v>
      </c>
      <c r="X9" s="201">
        <v>0</v>
      </c>
      <c r="AB9" s="24"/>
    </row>
    <row r="10" spans="1:28" s="6" customFormat="1" ht="20.25" customHeight="1">
      <c r="A10" s="4"/>
      <c r="B10" s="404"/>
      <c r="C10" s="86" t="s">
        <v>168</v>
      </c>
      <c r="D10" s="17" t="s">
        <v>20</v>
      </c>
      <c r="E10" s="75">
        <f>'Input &amp; Results'!G5</f>
        <v>2.86E-2</v>
      </c>
      <c r="F10" s="9"/>
      <c r="G10" s="404"/>
      <c r="H10" s="106" t="s">
        <v>162</v>
      </c>
      <c r="I10" s="17" t="s">
        <v>20</v>
      </c>
      <c r="J10" s="75">
        <f>J9/J11</f>
        <v>0.15122939860100498</v>
      </c>
      <c r="K10" s="4"/>
      <c r="L10" s="119" t="s">
        <v>21</v>
      </c>
      <c r="M10" s="200">
        <f>M5+M6+M7+M8+M9</f>
        <v>95680.8</v>
      </c>
      <c r="N10" s="200">
        <f>N5+N6+N7+N8+N9</f>
        <v>1063.1200000000001</v>
      </c>
      <c r="O10" s="200">
        <f>O5+O6+O7+O8+O9</f>
        <v>9568.0800000000017</v>
      </c>
      <c r="P10" s="201">
        <f>P5+P6+P7+P8+P9</f>
        <v>0</v>
      </c>
      <c r="Q10" s="33"/>
      <c r="R10" s="267" t="s">
        <v>21</v>
      </c>
      <c r="S10" s="200">
        <f>S6+S7+S8</f>
        <v>1906.562140455113</v>
      </c>
      <c r="T10" s="201">
        <f>T6+T7+T8+T9</f>
        <v>71559.064570405331</v>
      </c>
      <c r="U10" s="200">
        <f>U6+U7+U8</f>
        <v>102.68271905986147</v>
      </c>
      <c r="V10" s="201">
        <f>V6+V7+V8+V9</f>
        <v>3997.3172809401385</v>
      </c>
      <c r="W10" s="200">
        <f>W6+W7+W8+W9</f>
        <v>0</v>
      </c>
      <c r="X10" s="201">
        <f>X6+X7+X8+X9</f>
        <v>0</v>
      </c>
      <c r="Y10" s="21"/>
      <c r="Z10" s="21"/>
      <c r="AB10" s="24"/>
    </row>
    <row r="11" spans="1:28" s="6" customFormat="1" ht="15" customHeight="1">
      <c r="A11" s="4"/>
      <c r="B11" s="404"/>
      <c r="C11" s="87" t="s">
        <v>169</v>
      </c>
      <c r="D11" s="19" t="s">
        <v>9</v>
      </c>
      <c r="E11" s="178">
        <f>E10*E5</f>
        <v>1079.385736</v>
      </c>
      <c r="F11" s="9"/>
      <c r="G11" s="404"/>
      <c r="H11" s="137" t="s">
        <v>65</v>
      </c>
      <c r="I11" s="125" t="s">
        <v>9</v>
      </c>
      <c r="J11" s="238">
        <f>J5+J9</f>
        <v>72243.130240976752</v>
      </c>
      <c r="K11" s="10"/>
      <c r="L11" s="224" t="s">
        <v>22</v>
      </c>
      <c r="M11" s="202" t="s">
        <v>146</v>
      </c>
      <c r="N11" s="202" t="s">
        <v>52</v>
      </c>
      <c r="O11" s="203" t="s">
        <v>6</v>
      </c>
      <c r="P11" s="204" t="s">
        <v>15</v>
      </c>
      <c r="Q11"/>
      <c r="R11" s="399" t="s">
        <v>36</v>
      </c>
      <c r="S11" s="434" t="s">
        <v>12</v>
      </c>
      <c r="T11" s="426"/>
      <c r="U11" s="434" t="s">
        <v>101</v>
      </c>
      <c r="V11" s="426"/>
      <c r="W11" s="434" t="s">
        <v>15</v>
      </c>
      <c r="X11" s="426"/>
      <c r="Y11" s="51"/>
      <c r="Z11" s="50"/>
      <c r="AB11" s="12"/>
    </row>
    <row r="12" spans="1:28" s="6" customFormat="1" ht="15.95" customHeight="1">
      <c r="A12" s="4"/>
      <c r="B12" s="405"/>
      <c r="C12" s="88" t="s">
        <v>66</v>
      </c>
      <c r="D12" s="77" t="s">
        <v>9</v>
      </c>
      <c r="E12" s="221">
        <f>E5-E11</f>
        <v>36661.374263999998</v>
      </c>
      <c r="F12" s="9"/>
      <c r="G12" s="403" t="s">
        <v>23</v>
      </c>
      <c r="H12" s="112" t="s">
        <v>24</v>
      </c>
      <c r="I12" s="99" t="s">
        <v>9</v>
      </c>
      <c r="J12" s="187">
        <f>SUM(J13:J15)</f>
        <v>10124.53147241186</v>
      </c>
      <c r="K12" s="10"/>
      <c r="L12" s="116" t="s">
        <v>10</v>
      </c>
      <c r="M12" s="200">
        <f>M5*'Input &amp; Results'!G5</f>
        <v>1039.8589344</v>
      </c>
      <c r="N12" s="200">
        <f>N5*'Input &amp; Results'!G5</f>
        <v>12.1620928</v>
      </c>
      <c r="O12" s="200">
        <f>O5*'Input &amp; Results'!G5</f>
        <v>27.364708799999999</v>
      </c>
      <c r="P12" s="201">
        <f>P5*'Input &amp; Results'!G5</f>
        <v>0</v>
      </c>
      <c r="Q12" s="33"/>
      <c r="R12" s="400"/>
      <c r="S12" s="241" t="s">
        <v>59</v>
      </c>
      <c r="T12" s="240" t="s">
        <v>60</v>
      </c>
      <c r="U12" s="241" t="s">
        <v>59</v>
      </c>
      <c r="V12" s="240" t="s">
        <v>60</v>
      </c>
      <c r="W12" s="241" t="s">
        <v>59</v>
      </c>
      <c r="X12" s="240" t="s">
        <v>60</v>
      </c>
      <c r="AB12" s="12"/>
    </row>
    <row r="13" spans="1:28" s="6" customFormat="1" ht="15.95" customHeight="1">
      <c r="A13" s="4"/>
      <c r="B13" s="403" t="s">
        <v>25</v>
      </c>
      <c r="C13" s="81" t="s">
        <v>26</v>
      </c>
      <c r="D13" s="82" t="s">
        <v>9</v>
      </c>
      <c r="E13" s="220">
        <f>SUM(E14:E17)</f>
        <v>66370.581600000005</v>
      </c>
      <c r="F13" s="9"/>
      <c r="G13" s="404"/>
      <c r="H13" s="30" t="s">
        <v>12</v>
      </c>
      <c r="I13" s="14" t="s">
        <v>9</v>
      </c>
      <c r="J13" s="177">
        <f>'Input &amp; Results'!C21</f>
        <v>9550.5314724118598</v>
      </c>
      <c r="K13" s="4"/>
      <c r="L13" s="116" t="s">
        <v>13</v>
      </c>
      <c r="M13" s="200">
        <f>(M5+M6-M12)*'Input &amp; Results'!G6</f>
        <v>3299.6293878508732</v>
      </c>
      <c r="N13" s="200">
        <f>(N5+N6-N12)*'Input &amp; Results'!G6</f>
        <v>36.641347359254368</v>
      </c>
      <c r="O13" s="200">
        <f>(O5+O6-O12)*'Input &amp; Results'!G6</f>
        <v>255.90898773833209</v>
      </c>
      <c r="P13" s="201">
        <f>(P6+P5-P12)*'Input &amp; Results'!G6</f>
        <v>0</v>
      </c>
      <c r="Q13" s="33"/>
      <c r="R13" s="260" t="s">
        <v>63</v>
      </c>
      <c r="S13" s="200">
        <f>S6/(1-'Input &amp; Results'!G9)</f>
        <v>452.81332378819729</v>
      </c>
      <c r="T13" s="201">
        <f>T6/(1-'Input &amp; Results'!G9)</f>
        <v>67925.904089277567</v>
      </c>
      <c r="U13" s="200">
        <f>U6/(1-'Input &amp; Results'!G9)</f>
        <v>25.590676211802702</v>
      </c>
      <c r="V13" s="201">
        <f>V6/(1-'Input &amp; Results'!G9)</f>
        <v>3838.8221516991844</v>
      </c>
      <c r="W13" s="200">
        <f>W6/(1-'Input &amp; Results'!G9)</f>
        <v>0</v>
      </c>
      <c r="X13" s="201">
        <f>X6/(1-'Input &amp; Results'!G9)</f>
        <v>0</v>
      </c>
      <c r="Y13" s="50"/>
      <c r="Z13" s="21"/>
    </row>
    <row r="14" spans="1:28" s="6" customFormat="1">
      <c r="A14" s="4"/>
      <c r="B14" s="404"/>
      <c r="C14" s="83" t="s">
        <v>163</v>
      </c>
      <c r="D14" s="13" t="s">
        <v>9</v>
      </c>
      <c r="E14" s="174">
        <f>'Input &amp; Results'!C8</f>
        <v>59322.096000000005</v>
      </c>
      <c r="F14" s="9"/>
      <c r="G14" s="404"/>
      <c r="H14" s="30" t="s">
        <v>15</v>
      </c>
      <c r="I14" s="14" t="s">
        <v>9</v>
      </c>
      <c r="J14" s="188">
        <v>0</v>
      </c>
      <c r="K14" s="4"/>
      <c r="L14" s="118" t="s">
        <v>21</v>
      </c>
      <c r="M14" s="205">
        <f>M12+M13</f>
        <v>4339.4883222508734</v>
      </c>
      <c r="N14" s="205">
        <f>N12+N13</f>
        <v>48.803440159254365</v>
      </c>
      <c r="O14" s="205">
        <f>O12+O13</f>
        <v>283.2736965383321</v>
      </c>
      <c r="P14" s="206">
        <f>P12+P13</f>
        <v>0</v>
      </c>
      <c r="Q14" s="33"/>
      <c r="R14" s="260" t="s">
        <v>23</v>
      </c>
      <c r="S14" s="200">
        <f>S7/(1-'Input &amp; Results'!G8)</f>
        <v>722.05019595863575</v>
      </c>
      <c r="T14" s="201">
        <f>(T13+T7)/(1-'Input &amp; Results'!G8)</f>
        <v>83519.346219658561</v>
      </c>
      <c r="U14" s="200">
        <f>U7/(1-'Input &amp; Results'!G8)</f>
        <v>43.396204041364349</v>
      </c>
      <c r="V14" s="201">
        <f>(V13+V7)/(1-'Input &amp; Results'!G8)</f>
        <v>4754.7375445990692</v>
      </c>
      <c r="W14" s="200">
        <f>W7/(1-'Input &amp; Results'!G8)</f>
        <v>0</v>
      </c>
      <c r="X14" s="201">
        <f>(X13+X7)/(1-'Input &amp; Results'!G8)</f>
        <v>0</v>
      </c>
      <c r="Z14" s="21"/>
    </row>
    <row r="15" spans="1:28" s="6" customFormat="1" ht="14.45" customHeight="1">
      <c r="A15" s="4"/>
      <c r="B15" s="404"/>
      <c r="C15" s="84" t="s">
        <v>114</v>
      </c>
      <c r="D15" s="15" t="s">
        <v>9</v>
      </c>
      <c r="E15" s="175">
        <f>'Input &amp; Results'!C14</f>
        <v>6410.6136000000006</v>
      </c>
      <c r="G15" s="404"/>
      <c r="H15" s="30" t="s">
        <v>18</v>
      </c>
      <c r="I15" s="14" t="s">
        <v>9</v>
      </c>
      <c r="J15" s="177">
        <f>'Input &amp; Results'!C26</f>
        <v>574</v>
      </c>
      <c r="K15" s="4"/>
      <c r="L15" s="24"/>
      <c r="M15" s="207"/>
      <c r="N15" s="207"/>
      <c r="O15" s="207"/>
      <c r="P15" s="207"/>
      <c r="Q15" s="33"/>
      <c r="R15" s="260" t="s">
        <v>29</v>
      </c>
      <c r="S15" s="200">
        <f>S8/(1-'Input &amp; Results'!G7)</f>
        <v>913.12781669264791</v>
      </c>
      <c r="T15" s="201">
        <f>(T14+T8)/(1-'Input &amp; Results'!G7)</f>
        <v>93427.756957951366</v>
      </c>
      <c r="U15" s="200">
        <f>U8/(1-'Input &amp; Results'!G7)</f>
        <v>43.680183307351953</v>
      </c>
      <c r="V15" s="201">
        <f>(V14+V8)/(1-'Input &amp; Results'!G7)</f>
        <v>5277.3629159915781</v>
      </c>
      <c r="W15" s="200">
        <f>W8/(1-'Input &amp; Results'!G7)</f>
        <v>0</v>
      </c>
      <c r="X15" s="201">
        <f>(X14+X8)/(1-'Input &amp; Results'!G7)</f>
        <v>0</v>
      </c>
      <c r="Z15" s="21"/>
    </row>
    <row r="16" spans="1:28" s="6" customFormat="1" ht="15.95" customHeight="1">
      <c r="A16" s="4"/>
      <c r="B16" s="404"/>
      <c r="C16" s="133" t="s">
        <v>164</v>
      </c>
      <c r="D16" s="13" t="s">
        <v>9</v>
      </c>
      <c r="E16" s="174">
        <f>'Input &amp; Results'!C11</f>
        <v>637.87200000000018</v>
      </c>
      <c r="G16" s="404"/>
      <c r="H16" s="22" t="s">
        <v>27</v>
      </c>
      <c r="I16" s="14" t="s">
        <v>9</v>
      </c>
      <c r="J16" s="177">
        <f>S21+T21+U21+V21+W21+X21</f>
        <v>7150.2724508690198</v>
      </c>
      <c r="K16" s="4"/>
      <c r="L16" s="421" t="s">
        <v>139</v>
      </c>
      <c r="M16" s="422"/>
      <c r="N16" s="422"/>
      <c r="O16" s="422"/>
      <c r="P16" s="423"/>
      <c r="Q16" s="24"/>
      <c r="R16" s="260" t="s">
        <v>35</v>
      </c>
      <c r="S16" s="248" t="s">
        <v>56</v>
      </c>
      <c r="T16" s="201">
        <f>T15+T9</f>
        <v>94162.413225059965</v>
      </c>
      <c r="U16" s="248" t="s">
        <v>56</v>
      </c>
      <c r="V16" s="201">
        <f>V15+V9</f>
        <v>5277.3629159915781</v>
      </c>
      <c r="W16" s="200" t="s">
        <v>148</v>
      </c>
      <c r="X16" s="201">
        <f>X15+X9</f>
        <v>0</v>
      </c>
      <c r="Y16" s="50"/>
      <c r="Z16" s="21"/>
    </row>
    <row r="17" spans="1:27" s="6" customFormat="1" ht="18.75" customHeight="1">
      <c r="A17" s="4"/>
      <c r="B17" s="404"/>
      <c r="C17" s="85" t="s">
        <v>145</v>
      </c>
      <c r="D17" s="16" t="s">
        <v>17</v>
      </c>
      <c r="E17" s="176">
        <f>P6</f>
        <v>0</v>
      </c>
      <c r="G17" s="404"/>
      <c r="H17" s="22" t="s">
        <v>57</v>
      </c>
      <c r="I17" s="22" t="s">
        <v>20</v>
      </c>
      <c r="J17" s="75">
        <f>J16/J18</f>
        <v>7.9875306748577235E-2</v>
      </c>
      <c r="K17" s="4"/>
      <c r="L17" s="226" t="s">
        <v>31</v>
      </c>
      <c r="M17" s="202" t="s">
        <v>12</v>
      </c>
      <c r="N17" s="202" t="s">
        <v>32</v>
      </c>
      <c r="O17" s="203" t="s">
        <v>61</v>
      </c>
      <c r="P17" s="204" t="s">
        <v>21</v>
      </c>
      <c r="R17" s="261" t="s">
        <v>21</v>
      </c>
      <c r="S17" s="205">
        <f>SUM(S13:S15)</f>
        <v>2087.9913364394806</v>
      </c>
      <c r="T17" s="206">
        <f>SUM(T13:T16)</f>
        <v>339035.42049194744</v>
      </c>
      <c r="U17" s="205">
        <f>SUM(U13:U15)</f>
        <v>112.667063560519</v>
      </c>
      <c r="V17" s="206">
        <f>SUM(V13:V16)</f>
        <v>19148.285528281409</v>
      </c>
      <c r="W17" s="205">
        <f>SUM(W13:W15)</f>
        <v>0</v>
      </c>
      <c r="X17" s="206">
        <f>SUM(X13:X16)</f>
        <v>0</v>
      </c>
      <c r="Z17" s="21"/>
    </row>
    <row r="18" spans="1:27" s="6" customFormat="1">
      <c r="A18" s="4"/>
      <c r="B18" s="404"/>
      <c r="C18" s="86" t="s">
        <v>170</v>
      </c>
      <c r="D18" s="23" t="s">
        <v>20</v>
      </c>
      <c r="E18" s="75">
        <f>'Input &amp; Results'!G6</f>
        <v>3.4864714474507896E-2</v>
      </c>
      <c r="F18" s="21"/>
      <c r="G18" s="404"/>
      <c r="H18" s="113" t="s">
        <v>28</v>
      </c>
      <c r="I18" s="134" t="s">
        <v>17</v>
      </c>
      <c r="J18" s="238">
        <f>J12+J11+J16</f>
        <v>89517.934164257633</v>
      </c>
      <c r="K18" s="10"/>
      <c r="L18" s="262" t="s">
        <v>63</v>
      </c>
      <c r="M18" s="200">
        <f>S6+T6</f>
        <v>58037.845101579762</v>
      </c>
      <c r="N18" s="200">
        <f>U6+V6</f>
        <v>3280</v>
      </c>
      <c r="O18" s="200">
        <f>W6+X6</f>
        <v>0</v>
      </c>
      <c r="P18" s="201">
        <f>M18+N18+O18</f>
        <v>61317.845101579762</v>
      </c>
      <c r="R18" s="400" t="s">
        <v>22</v>
      </c>
      <c r="S18" s="429" t="s">
        <v>12</v>
      </c>
      <c r="T18" s="430"/>
      <c r="U18" s="434" t="s">
        <v>101</v>
      </c>
      <c r="V18" s="426"/>
      <c r="W18" s="429" t="s">
        <v>15</v>
      </c>
      <c r="X18" s="430"/>
    </row>
    <row r="19" spans="1:27" s="6" customFormat="1" ht="15.95" customHeight="1">
      <c r="A19" s="4"/>
      <c r="B19" s="405"/>
      <c r="C19" s="90" t="s">
        <v>171</v>
      </c>
      <c r="D19" s="91" t="s">
        <v>9</v>
      </c>
      <c r="E19" s="235">
        <f>(E12+E13)*E18</f>
        <v>3592.1797229484596</v>
      </c>
      <c r="F19" s="9"/>
      <c r="G19" s="403" t="s">
        <v>29</v>
      </c>
      <c r="H19" s="112" t="s">
        <v>30</v>
      </c>
      <c r="I19" s="103" t="s">
        <v>9</v>
      </c>
      <c r="J19" s="187">
        <f>SUM(J20:J22)</f>
        <v>5388.5938697602323</v>
      </c>
      <c r="K19" s="10"/>
      <c r="L19" s="262" t="s">
        <v>23</v>
      </c>
      <c r="M19" s="200">
        <f>S7+T7</f>
        <v>9550.5314724118598</v>
      </c>
      <c r="N19" s="200">
        <f>U7+V7</f>
        <v>574</v>
      </c>
      <c r="O19" s="200">
        <f>W7+X7</f>
        <v>0</v>
      </c>
      <c r="P19" s="201">
        <f>M19+N19+O19</f>
        <v>10124.53147241186</v>
      </c>
      <c r="R19" s="400"/>
      <c r="S19" s="241" t="s">
        <v>59</v>
      </c>
      <c r="T19" s="240" t="s">
        <v>60</v>
      </c>
      <c r="U19" s="241" t="s">
        <v>59</v>
      </c>
      <c r="V19" s="240" t="s">
        <v>60</v>
      </c>
      <c r="W19" s="241" t="s">
        <v>59</v>
      </c>
      <c r="X19" s="240" t="s">
        <v>60</v>
      </c>
      <c r="Y19" s="52"/>
    </row>
    <row r="20" spans="1:27" s="6" customFormat="1" ht="15.75" customHeight="1">
      <c r="A20" s="4"/>
      <c r="B20" s="403" t="s">
        <v>11</v>
      </c>
      <c r="C20" s="78" t="s">
        <v>54</v>
      </c>
      <c r="D20" s="92" t="s">
        <v>9</v>
      </c>
      <c r="E20" s="180">
        <f>E21+E22+E23+E24+E25+E26</f>
        <v>2200.6584000000003</v>
      </c>
      <c r="F20" s="9"/>
      <c r="G20" s="404"/>
      <c r="H20" s="30" t="s">
        <v>12</v>
      </c>
      <c r="I20" s="14" t="s">
        <v>9</v>
      </c>
      <c r="J20" s="177">
        <f>'Input &amp; Results'!C20</f>
        <v>5142.5938697602323</v>
      </c>
      <c r="K20" s="4"/>
      <c r="L20" s="262" t="s">
        <v>29</v>
      </c>
      <c r="M20" s="200">
        <f>S8+T8</f>
        <v>5142.5938697602323</v>
      </c>
      <c r="N20" s="200">
        <f>U8+V8</f>
        <v>246</v>
      </c>
      <c r="O20" s="200">
        <f>W8+X8</f>
        <v>0</v>
      </c>
      <c r="P20" s="201">
        <f>M20+N20+O20</f>
        <v>5388.5938697602323</v>
      </c>
      <c r="R20" s="260" t="s">
        <v>63</v>
      </c>
      <c r="S20" s="200">
        <f t="shared" ref="S20:X20" si="0">S13-S6</f>
        <v>68.478686635011172</v>
      </c>
      <c r="T20" s="201">
        <f t="shared" si="0"/>
        <v>10272.393624850993</v>
      </c>
      <c r="U20" s="200">
        <f t="shared" si="0"/>
        <v>3.8700625733039651</v>
      </c>
      <c r="V20" s="201">
        <f t="shared" si="0"/>
        <v>580.54276533768325</v>
      </c>
      <c r="W20" s="200">
        <f t="shared" si="0"/>
        <v>0</v>
      </c>
      <c r="X20" s="201">
        <f t="shared" si="0"/>
        <v>0</v>
      </c>
      <c r="Y20" s="52"/>
      <c r="Z20" s="21"/>
    </row>
    <row r="21" spans="1:27" s="6" customFormat="1" ht="15" customHeight="1">
      <c r="A21" s="4"/>
      <c r="B21" s="404"/>
      <c r="C21" s="24" t="s">
        <v>147</v>
      </c>
      <c r="D21" s="24" t="s">
        <v>9</v>
      </c>
      <c r="E21" s="181">
        <f>'Input &amp; Results'!C15</f>
        <v>956.80799999999999</v>
      </c>
      <c r="F21" s="25"/>
      <c r="G21" s="404"/>
      <c r="H21" s="30" t="s">
        <v>15</v>
      </c>
      <c r="I21" s="14" t="s">
        <v>9</v>
      </c>
      <c r="J21" s="188">
        <v>0</v>
      </c>
      <c r="K21" s="4"/>
      <c r="L21" s="262" t="s">
        <v>35</v>
      </c>
      <c r="M21" s="200">
        <f>T9</f>
        <v>734.65626710860454</v>
      </c>
      <c r="N21" s="200">
        <f>V9</f>
        <v>0</v>
      </c>
      <c r="O21" s="200">
        <f>W9+X9</f>
        <v>0</v>
      </c>
      <c r="P21" s="201">
        <f>M21+N21+O21</f>
        <v>734.65626710860454</v>
      </c>
      <c r="R21" s="260" t="s">
        <v>23</v>
      </c>
      <c r="S21" s="200">
        <f>S14-S7</f>
        <v>57.983859694489865</v>
      </c>
      <c r="T21" s="201">
        <f>T14-T13-T7</f>
        <v>6706.9769942332805</v>
      </c>
      <c r="U21" s="200">
        <f>U14-U7</f>
        <v>3.4849092493731249</v>
      </c>
      <c r="V21" s="201">
        <f>V14-V7-V13</f>
        <v>381.82668769187603</v>
      </c>
      <c r="W21" s="200">
        <f>W14-W7</f>
        <v>0</v>
      </c>
      <c r="X21" s="201">
        <f>X14-X7-X13</f>
        <v>0</v>
      </c>
      <c r="Y21" s="52"/>
    </row>
    <row r="22" spans="1:27" s="6" customFormat="1" ht="18.75" customHeight="1">
      <c r="A22" s="4"/>
      <c r="B22" s="405"/>
      <c r="C22" s="93" t="s">
        <v>145</v>
      </c>
      <c r="D22" s="93" t="s">
        <v>9</v>
      </c>
      <c r="E22" s="182">
        <f>P7</f>
        <v>0</v>
      </c>
      <c r="F22" s="18"/>
      <c r="G22" s="404"/>
      <c r="H22" s="30" t="s">
        <v>18</v>
      </c>
      <c r="I22" s="14" t="s">
        <v>9</v>
      </c>
      <c r="J22" s="177">
        <f>'Input &amp; Results'!C25</f>
        <v>246</v>
      </c>
      <c r="K22" s="4"/>
      <c r="L22" s="263" t="s">
        <v>21</v>
      </c>
      <c r="M22" s="205">
        <f>M21+M20+M19+M18</f>
        <v>73465.626710860466</v>
      </c>
      <c r="N22" s="205">
        <f>N21+N20+N19+N18</f>
        <v>4100</v>
      </c>
      <c r="O22" s="205">
        <f>'Input &amp; Results'!G17</f>
        <v>9900</v>
      </c>
      <c r="P22" s="206">
        <f>SUM(P18:P21)</f>
        <v>77565.626710860466</v>
      </c>
      <c r="R22" s="264" t="s">
        <v>29</v>
      </c>
      <c r="S22" s="205">
        <f>S15-S8</f>
        <v>54.966649654866956</v>
      </c>
      <c r="T22" s="206">
        <f>T15-T14-T8</f>
        <v>5623.9780355703533</v>
      </c>
      <c r="U22" s="205">
        <f>U15-U8</f>
        <v>2.6293726779804416</v>
      </c>
      <c r="V22" s="206">
        <f>V15-V8-V14</f>
        <v>317.67618202188078</v>
      </c>
      <c r="W22" s="205">
        <f>W15-W8</f>
        <v>0</v>
      </c>
      <c r="X22" s="206">
        <f>X15-X8-X14</f>
        <v>0</v>
      </c>
      <c r="Y22" s="44"/>
      <c r="Z22"/>
      <c r="AA22"/>
    </row>
    <row r="23" spans="1:27" s="6" customFormat="1" ht="15" customHeight="1">
      <c r="A23" s="4"/>
      <c r="B23" s="403" t="s">
        <v>14</v>
      </c>
      <c r="C23" s="24" t="s">
        <v>115</v>
      </c>
      <c r="D23" s="94" t="s">
        <v>9</v>
      </c>
      <c r="E23" s="183">
        <f>'Input &amp; Results'!C16</f>
        <v>765.44640000000004</v>
      </c>
      <c r="F23" s="27"/>
      <c r="G23" s="404"/>
      <c r="H23" s="114" t="s">
        <v>33</v>
      </c>
      <c r="I23" s="28" t="s">
        <v>9</v>
      </c>
      <c r="J23" s="177">
        <f>S22+T22+U22+V22+W22+X22</f>
        <v>5999.2502399250816</v>
      </c>
      <c r="K23" s="4"/>
      <c r="L23" s="226" t="s">
        <v>36</v>
      </c>
      <c r="M23" s="202" t="s">
        <v>12</v>
      </c>
      <c r="N23" s="202" t="s">
        <v>32</v>
      </c>
      <c r="O23" s="203" t="s">
        <v>15</v>
      </c>
      <c r="P23" s="204" t="s">
        <v>71</v>
      </c>
      <c r="S23" s="21"/>
      <c r="Y23" s="43"/>
      <c r="Z23"/>
      <c r="AA23"/>
    </row>
    <row r="24" spans="1:27" s="6" customFormat="1" ht="14.25" customHeight="1">
      <c r="A24" s="4"/>
      <c r="B24" s="405"/>
      <c r="C24" s="93" t="s">
        <v>19</v>
      </c>
      <c r="D24" s="93" t="s">
        <v>9</v>
      </c>
      <c r="E24" s="184">
        <f>P8</f>
        <v>0</v>
      </c>
      <c r="F24" s="29"/>
      <c r="G24" s="404"/>
      <c r="H24" s="22" t="s">
        <v>58</v>
      </c>
      <c r="I24" s="17" t="s">
        <v>20</v>
      </c>
      <c r="J24" s="75">
        <f>J23/J25</f>
        <v>5.94539811549551E-2</v>
      </c>
      <c r="K24" s="4"/>
      <c r="L24" s="262" t="s">
        <v>63</v>
      </c>
      <c r="M24" s="200">
        <f>S13+T13</f>
        <v>68378.717413065766</v>
      </c>
      <c r="N24" s="200">
        <f>U13+V13</f>
        <v>3864.4128279109873</v>
      </c>
      <c r="O24" s="200">
        <f>W13+X13</f>
        <v>0</v>
      </c>
      <c r="P24" s="201">
        <f>M24+N24+O24</f>
        <v>72243.130240976752</v>
      </c>
      <c r="S24" s="21"/>
      <c r="T24" s="21"/>
    </row>
    <row r="25" spans="1:27" s="6" customFormat="1">
      <c r="A25" s="4"/>
      <c r="B25" s="403" t="s">
        <v>16</v>
      </c>
      <c r="C25" s="24" t="s">
        <v>115</v>
      </c>
      <c r="D25" s="95" t="s">
        <v>9</v>
      </c>
      <c r="E25" s="236">
        <f>'Input &amp; Results'!C17</f>
        <v>478.404</v>
      </c>
      <c r="F25" s="24"/>
      <c r="G25" s="404"/>
      <c r="H25" s="115" t="s">
        <v>34</v>
      </c>
      <c r="I25" s="135" t="s">
        <v>17</v>
      </c>
      <c r="J25" s="238">
        <f>J19+J18+J23</f>
        <v>100905.77827394294</v>
      </c>
      <c r="K25" s="10"/>
      <c r="L25" s="262" t="s">
        <v>23</v>
      </c>
      <c r="M25" s="200">
        <f>S14+T14</f>
        <v>84241.396415617201</v>
      </c>
      <c r="N25" s="200">
        <f>U14+V14</f>
        <v>4798.1337486404336</v>
      </c>
      <c r="O25" s="200">
        <f>W14+X14</f>
        <v>0</v>
      </c>
      <c r="P25" s="201">
        <f>M25+N25+O25</f>
        <v>89039.530164257638</v>
      </c>
      <c r="S25" s="21"/>
    </row>
    <row r="26" spans="1:27" s="6" customFormat="1" ht="15.75" customHeight="1">
      <c r="A26" s="4"/>
      <c r="B26" s="405"/>
      <c r="C26" s="93" t="s">
        <v>19</v>
      </c>
      <c r="D26" s="76" t="s">
        <v>9</v>
      </c>
      <c r="E26" s="186">
        <f>P9</f>
        <v>0</v>
      </c>
      <c r="F26" s="5"/>
      <c r="G26" s="403" t="s">
        <v>35</v>
      </c>
      <c r="H26" s="101" t="s">
        <v>161</v>
      </c>
      <c r="I26" s="136" t="s">
        <v>17</v>
      </c>
      <c r="J26" s="187">
        <f>SUM(J27:J29)</f>
        <v>734.65626710860454</v>
      </c>
      <c r="K26" s="4"/>
      <c r="L26" s="262" t="s">
        <v>29</v>
      </c>
      <c r="M26" s="200">
        <f>S15+T15</f>
        <v>94340.884774644015</v>
      </c>
      <c r="N26" s="200">
        <f>U15+V15</f>
        <v>5321.0430992989304</v>
      </c>
      <c r="O26" s="200">
        <f>W15+X15</f>
        <v>0</v>
      </c>
      <c r="P26" s="201">
        <f>M26+N26+O26</f>
        <v>99661.927873942943</v>
      </c>
      <c r="S26" s="21"/>
    </row>
    <row r="27" spans="1:27" s="6" customFormat="1">
      <c r="A27" s="4"/>
      <c r="B27" s="409"/>
      <c r="C27" s="266" t="s">
        <v>165</v>
      </c>
      <c r="D27" s="120" t="s">
        <v>9</v>
      </c>
      <c r="E27" s="180">
        <f>E12+E13-E19+E20</f>
        <v>101640.43454105154</v>
      </c>
      <c r="F27" s="24"/>
      <c r="G27" s="404"/>
      <c r="H27" s="30" t="s">
        <v>12</v>
      </c>
      <c r="I27" s="14" t="s">
        <v>9</v>
      </c>
      <c r="J27" s="177">
        <f>'Input &amp; Results'!C19</f>
        <v>734.65626710860454</v>
      </c>
      <c r="K27" s="4"/>
      <c r="L27" s="265" t="s">
        <v>35</v>
      </c>
      <c r="M27" s="205">
        <f>T16</f>
        <v>94162.413225059965</v>
      </c>
      <c r="N27" s="205">
        <f>V16</f>
        <v>5277.3629159915781</v>
      </c>
      <c r="O27" s="205">
        <f>X16</f>
        <v>0</v>
      </c>
      <c r="P27" s="206">
        <f>M27+N27+O27</f>
        <v>99439.776141051538</v>
      </c>
      <c r="U27" s="21"/>
    </row>
    <row r="28" spans="1:27" s="6" customFormat="1" ht="14.45" customHeight="1">
      <c r="A28" s="4"/>
      <c r="B28" s="410"/>
      <c r="C28" s="140" t="s">
        <v>39</v>
      </c>
      <c r="D28" s="76" t="s">
        <v>9</v>
      </c>
      <c r="E28" s="256">
        <f>E27-J30</f>
        <v>0</v>
      </c>
      <c r="F28" s="31"/>
      <c r="G28" s="404"/>
      <c r="H28" s="30" t="s">
        <v>15</v>
      </c>
      <c r="I28" s="14" t="s">
        <v>9</v>
      </c>
      <c r="J28" s="188">
        <v>0</v>
      </c>
      <c r="K28" s="4"/>
      <c r="L28" s="227" t="s">
        <v>38</v>
      </c>
      <c r="M28" s="197" t="s">
        <v>12</v>
      </c>
      <c r="N28" s="197" t="s">
        <v>32</v>
      </c>
      <c r="O28" s="203" t="s">
        <v>15</v>
      </c>
      <c r="P28" s="199" t="s">
        <v>21</v>
      </c>
    </row>
    <row r="29" spans="1:27" s="6" customFormat="1" ht="15" customHeight="1" thickBot="1">
      <c r="A29" s="4"/>
      <c r="F29" s="31"/>
      <c r="G29" s="404"/>
      <c r="H29" s="30" t="s">
        <v>18</v>
      </c>
      <c r="I29" s="14" t="s">
        <v>9</v>
      </c>
      <c r="J29" s="177">
        <f>'Input &amp; Results'!C24</f>
        <v>0</v>
      </c>
      <c r="K29" s="10"/>
      <c r="L29" s="262" t="s">
        <v>63</v>
      </c>
      <c r="M29" s="200">
        <f>S20+T20</f>
        <v>10340.872311486004</v>
      </c>
      <c r="N29" s="200">
        <f>U20+V20</f>
        <v>584.41282791098718</v>
      </c>
      <c r="O29" s="200">
        <f>W20+X20</f>
        <v>0</v>
      </c>
      <c r="P29" s="201">
        <f>M29+N29+O29</f>
        <v>10925.28513939699</v>
      </c>
    </row>
    <row r="30" spans="1:27" s="6" customFormat="1" ht="18.95" customHeight="1">
      <c r="A30" s="24"/>
      <c r="B30" s="26"/>
      <c r="C30" s="414" t="s">
        <v>37</v>
      </c>
      <c r="D30" s="415"/>
      <c r="E30" s="416"/>
      <c r="F30" s="31"/>
      <c r="G30" s="405"/>
      <c r="H30" s="97" t="s">
        <v>166</v>
      </c>
      <c r="I30" s="97"/>
      <c r="J30" s="223">
        <f>J26+J25</f>
        <v>101640.43454105154</v>
      </c>
      <c r="K30" s="10"/>
      <c r="L30" s="262" t="s">
        <v>23</v>
      </c>
      <c r="M30" s="200">
        <f>S21+T21</f>
        <v>6764.9608539277706</v>
      </c>
      <c r="N30" s="200">
        <f>U21+V21</f>
        <v>385.31159694124915</v>
      </c>
      <c r="O30" s="200">
        <f>W21+X21</f>
        <v>0</v>
      </c>
      <c r="P30" s="201">
        <f>M30+N30+O30</f>
        <v>7150.2724508690198</v>
      </c>
    </row>
    <row r="31" spans="1:27" s="6" customFormat="1">
      <c r="A31" s="24"/>
      <c r="B31" s="408"/>
      <c r="C31" s="11" t="s">
        <v>40</v>
      </c>
      <c r="D31" s="390">
        <f>E27+E19</f>
        <v>105232.614264</v>
      </c>
      <c r="E31" s="391"/>
      <c r="F31" s="31"/>
      <c r="G31" s="24"/>
      <c r="H31" s="24"/>
      <c r="I31" s="24"/>
      <c r="J31" s="24"/>
      <c r="K31" s="10"/>
      <c r="L31" s="265" t="s">
        <v>29</v>
      </c>
      <c r="M31" s="205">
        <f>S22+T22</f>
        <v>5678.9446852252204</v>
      </c>
      <c r="N31" s="205">
        <f>U22+V22</f>
        <v>320.3055546998612</v>
      </c>
      <c r="O31" s="205">
        <f>W22+X22</f>
        <v>0</v>
      </c>
      <c r="P31" s="206">
        <f>M31+N31+O31</f>
        <v>5999.2502399250816</v>
      </c>
    </row>
    <row r="32" spans="1:27" s="6" customFormat="1" ht="16.5" customHeight="1">
      <c r="A32" s="24"/>
      <c r="B32" s="408"/>
      <c r="C32" s="11" t="s">
        <v>41</v>
      </c>
      <c r="D32" s="390">
        <f>J26+J19+J12+J5</f>
        <v>77565.626710860466</v>
      </c>
      <c r="E32" s="391"/>
      <c r="F32" s="26"/>
      <c r="G32" s="24"/>
      <c r="J32" s="24"/>
      <c r="K32" s="10"/>
      <c r="M32" s="208"/>
      <c r="N32" s="208"/>
      <c r="O32" s="208"/>
      <c r="P32" s="208"/>
    </row>
    <row r="33" spans="1:29" ht="15.75" thickBot="1">
      <c r="A33" s="31"/>
      <c r="B33" s="420"/>
      <c r="C33" s="144" t="s">
        <v>42</v>
      </c>
      <c r="D33" s="392">
        <f>(D31-D32-E28)/D31</f>
        <v>0.26291266967606253</v>
      </c>
      <c r="E33" s="393"/>
      <c r="F33" s="26"/>
      <c r="G33" s="24"/>
      <c r="J33" s="24"/>
      <c r="K33" s="10"/>
      <c r="S33" s="6"/>
      <c r="T33" s="6"/>
    </row>
    <row r="34" spans="1:29" ht="15" customHeight="1" thickBot="1">
      <c r="A34" s="31"/>
      <c r="B34" s="420"/>
      <c r="C34" s="40"/>
      <c r="D34" s="16"/>
      <c r="E34" s="31"/>
      <c r="F34" s="26"/>
      <c r="G34" s="24"/>
      <c r="J34" s="24"/>
      <c r="K34" s="10"/>
    </row>
    <row r="35" spans="1:29" ht="15" customHeight="1">
      <c r="A35" s="31"/>
      <c r="B35" s="408"/>
      <c r="C35" s="414" t="s">
        <v>78</v>
      </c>
      <c r="D35" s="415"/>
      <c r="E35" s="416"/>
      <c r="F35" s="26"/>
      <c r="G35" s="24"/>
      <c r="J35" s="24"/>
      <c r="K35" s="10"/>
    </row>
    <row r="36" spans="1:29" ht="15" customHeight="1">
      <c r="A36" s="31"/>
      <c r="B36" s="408"/>
      <c r="C36" s="11" t="s">
        <v>40</v>
      </c>
      <c r="D36" s="390">
        <f>M29+M30+M31+N31+N30+N29+D37</f>
        <v>101640.43454105157</v>
      </c>
      <c r="E36" s="391"/>
      <c r="F36" s="26"/>
      <c r="G36" s="24"/>
      <c r="H36" s="24"/>
      <c r="I36" s="24"/>
      <c r="J36" s="24"/>
      <c r="K36" s="10"/>
    </row>
    <row r="37" spans="1:29" ht="15.95" customHeight="1">
      <c r="A37" s="31"/>
      <c r="B37" s="46"/>
      <c r="C37" s="11" t="s">
        <v>41</v>
      </c>
      <c r="D37" s="390">
        <f>M22+N22</f>
        <v>77565.626710860466</v>
      </c>
      <c r="E37" s="391"/>
      <c r="F37" s="26"/>
      <c r="G37" s="24"/>
      <c r="H37" s="24"/>
      <c r="I37" s="24"/>
      <c r="J37" s="24"/>
      <c r="K37" s="10"/>
      <c r="S37" s="32"/>
    </row>
    <row r="38" spans="1:29" ht="15" customHeight="1" thickBot="1">
      <c r="A38" s="31"/>
      <c r="B38" s="46"/>
      <c r="C38" s="144" t="s">
        <v>110</v>
      </c>
      <c r="D38" s="392">
        <f>(D36-(D37*'Input &amp; Results'!G12))/D36</f>
        <v>0.31317625357475981</v>
      </c>
      <c r="E38" s="393"/>
      <c r="F38" s="26"/>
      <c r="G38" s="24"/>
      <c r="H38" s="24"/>
      <c r="I38" s="24"/>
      <c r="J38" s="24"/>
      <c r="K38" s="10"/>
      <c r="S38" s="32"/>
      <c r="U38"/>
      <c r="V38" s="33"/>
      <c r="W38"/>
    </row>
    <row r="39" spans="1:29" ht="15" customHeight="1">
      <c r="A39" s="31"/>
      <c r="B39" s="24"/>
      <c r="C39" s="40"/>
      <c r="D39" s="16"/>
      <c r="E39" s="31"/>
      <c r="F39" s="26"/>
      <c r="G39" s="24"/>
      <c r="H39" s="24"/>
      <c r="I39" s="24"/>
      <c r="J39" s="24"/>
      <c r="K39" s="10"/>
      <c r="S39" s="32"/>
      <c r="T39"/>
      <c r="U39" s="433"/>
      <c r="V39" s="433"/>
      <c r="W39" s="433"/>
    </row>
    <row r="40" spans="1:29" ht="15" customHeight="1">
      <c r="A40" s="31"/>
      <c r="B40" s="24"/>
      <c r="C40" s="40"/>
      <c r="D40" s="16"/>
      <c r="E40" s="31"/>
      <c r="F40" s="26"/>
      <c r="G40" s="24"/>
      <c r="H40" s="24"/>
      <c r="I40" s="24"/>
      <c r="J40" s="24"/>
      <c r="K40" s="10"/>
      <c r="L40" s="16"/>
      <c r="M40" s="171"/>
      <c r="N40" s="171"/>
      <c r="O40" s="171"/>
      <c r="P40" s="171"/>
      <c r="Q40" s="42"/>
      <c r="R40" s="42"/>
      <c r="S40" s="32"/>
      <c r="T40"/>
      <c r="U40" s="141"/>
      <c r="V40" s="141"/>
      <c r="W40" s="141"/>
    </row>
    <row r="41" spans="1:29" ht="18" customHeight="1">
      <c r="A41" s="31"/>
      <c r="B41" s="406" t="s">
        <v>173</v>
      </c>
      <c r="C41" s="406"/>
      <c r="D41" s="406"/>
      <c r="E41" s="406"/>
      <c r="F41" s="406"/>
      <c r="G41" s="406"/>
      <c r="H41" s="406"/>
      <c r="I41" s="406"/>
      <c r="J41" s="406"/>
      <c r="K41" s="406"/>
      <c r="L41" s="406"/>
      <c r="M41" s="406"/>
      <c r="N41" s="406"/>
      <c r="O41" s="406"/>
      <c r="P41" s="406"/>
      <c r="Q41" s="406"/>
      <c r="R41" s="406"/>
      <c r="S41" s="406"/>
      <c r="T41" s="406"/>
      <c r="U41" s="406"/>
      <c r="V41" s="48"/>
      <c r="W41" s="36"/>
    </row>
    <row r="42" spans="1:29" ht="49.5" customHeight="1">
      <c r="A42" s="31"/>
      <c r="B42" s="143">
        <v>1</v>
      </c>
      <c r="C42" s="407" t="s">
        <v>150</v>
      </c>
      <c r="D42" s="407"/>
      <c r="E42" s="407"/>
      <c r="F42" s="407"/>
      <c r="G42" s="407"/>
      <c r="H42" s="407"/>
      <c r="I42" s="407"/>
      <c r="J42" s="407"/>
      <c r="K42" s="407"/>
      <c r="L42" s="407"/>
      <c r="M42" s="407"/>
      <c r="N42" s="407"/>
      <c r="O42" s="407"/>
      <c r="P42" s="407"/>
      <c r="Q42" s="407"/>
      <c r="R42" s="407"/>
      <c r="S42" s="407"/>
      <c r="T42" s="407"/>
      <c r="U42" s="407"/>
      <c r="V42" s="48"/>
      <c r="W42" s="48"/>
    </row>
    <row r="43" spans="1:29" ht="32.1" customHeight="1">
      <c r="B43" s="143">
        <v>2</v>
      </c>
      <c r="C43" s="389" t="s">
        <v>154</v>
      </c>
      <c r="D43" s="389"/>
      <c r="E43" s="389"/>
      <c r="F43" s="389"/>
      <c r="G43" s="389"/>
      <c r="H43" s="389"/>
      <c r="I43" s="389"/>
      <c r="J43" s="389"/>
      <c r="K43" s="389"/>
      <c r="L43" s="389"/>
      <c r="M43" s="389"/>
      <c r="N43" s="389"/>
      <c r="O43" s="389"/>
      <c r="P43" s="389"/>
      <c r="Q43" s="389"/>
      <c r="R43" s="389"/>
      <c r="S43" s="389"/>
      <c r="T43" s="389"/>
      <c r="U43" s="389"/>
      <c r="V43" s="36"/>
      <c r="W43" s="48"/>
    </row>
    <row r="44" spans="1:29" ht="98.1" customHeight="1">
      <c r="B44" s="258">
        <v>3</v>
      </c>
      <c r="C44" s="389" t="s">
        <v>175</v>
      </c>
      <c r="D44" s="389"/>
      <c r="E44" s="389"/>
      <c r="F44" s="389"/>
      <c r="G44" s="389"/>
      <c r="H44" s="389"/>
      <c r="I44" s="389"/>
      <c r="J44" s="389"/>
      <c r="K44" s="389"/>
      <c r="L44" s="389"/>
      <c r="M44" s="389"/>
      <c r="N44" s="389"/>
      <c r="O44" s="389"/>
      <c r="P44" s="389"/>
      <c r="Q44" s="389"/>
      <c r="R44" s="389"/>
      <c r="S44" s="389"/>
      <c r="T44" s="389"/>
      <c r="U44" s="389"/>
      <c r="V44" s="36"/>
      <c r="W44" s="48"/>
      <c r="X44"/>
      <c r="AB44" s="36"/>
      <c r="AC44" s="36"/>
    </row>
    <row r="45" spans="1:29" ht="21.75" customHeight="1">
      <c r="B45" s="258">
        <v>4</v>
      </c>
      <c r="C45" s="394" t="s">
        <v>95</v>
      </c>
      <c r="D45" s="394"/>
      <c r="E45" s="394"/>
      <c r="F45" s="394"/>
      <c r="G45" s="394"/>
      <c r="H45" s="394"/>
      <c r="I45" s="394"/>
      <c r="J45" s="394"/>
      <c r="K45" s="394"/>
      <c r="L45" s="394"/>
      <c r="M45" s="394"/>
      <c r="N45" s="394"/>
      <c r="O45" s="394"/>
      <c r="P45" s="394"/>
      <c r="Q45" s="394"/>
      <c r="R45" s="394"/>
      <c r="S45" s="394"/>
      <c r="T45" s="394"/>
      <c r="U45" s="394"/>
      <c r="V45" s="36"/>
      <c r="W45" s="36"/>
      <c r="X45"/>
    </row>
    <row r="46" spans="1:29" ht="15" customHeight="1">
      <c r="B46" s="2"/>
      <c r="C46" s="3"/>
      <c r="D46" s="1"/>
      <c r="P46" s="196"/>
      <c r="R46"/>
      <c r="S46"/>
      <c r="T46"/>
      <c r="U46"/>
      <c r="V46"/>
      <c r="W46"/>
      <c r="X46"/>
    </row>
    <row r="47" spans="1:29" ht="15" customHeight="1">
      <c r="Q47"/>
      <c r="R47"/>
      <c r="S47"/>
      <c r="T47"/>
      <c r="U47"/>
      <c r="V47"/>
      <c r="W47"/>
      <c r="X47"/>
    </row>
    <row r="48" spans="1:29" ht="15" customHeight="1">
      <c r="Q48"/>
      <c r="R48"/>
      <c r="S48"/>
      <c r="T48"/>
      <c r="U48"/>
      <c r="V48"/>
      <c r="W48"/>
      <c r="X48"/>
    </row>
    <row r="49" spans="17:24" ht="15" customHeight="1">
      <c r="Q49"/>
      <c r="R49"/>
      <c r="S49"/>
      <c r="T49"/>
      <c r="U49"/>
      <c r="V49"/>
      <c r="W49"/>
      <c r="X49"/>
    </row>
    <row r="50" spans="17:24" ht="15.75" customHeight="1">
      <c r="Q50"/>
      <c r="R50"/>
      <c r="S50"/>
      <c r="T50"/>
      <c r="U50"/>
      <c r="V50"/>
      <c r="W50"/>
      <c r="X50"/>
    </row>
    <row r="51" spans="17:24" ht="15.75" customHeight="1">
      <c r="R51"/>
      <c r="S51"/>
      <c r="T51"/>
      <c r="U51"/>
      <c r="V51"/>
      <c r="W51"/>
      <c r="X51"/>
    </row>
    <row r="52" spans="17:24">
      <c r="R52"/>
      <c r="S52"/>
      <c r="T52"/>
      <c r="U52"/>
      <c r="V52"/>
      <c r="W52"/>
      <c r="X52"/>
    </row>
    <row r="53" spans="17:24">
      <c r="R53"/>
      <c r="S53"/>
      <c r="T53"/>
      <c r="V53"/>
      <c r="W53"/>
    </row>
    <row r="54" spans="17:24">
      <c r="V54"/>
      <c r="W54"/>
    </row>
    <row r="55" spans="17:24">
      <c r="V55"/>
      <c r="W55"/>
    </row>
    <row r="56" spans="17:24">
      <c r="V56"/>
      <c r="W56"/>
    </row>
    <row r="57" spans="17:24">
      <c r="V57"/>
      <c r="W57"/>
    </row>
    <row r="58" spans="17:24">
      <c r="V58"/>
      <c r="W58"/>
    </row>
    <row r="59" spans="17:24">
      <c r="V59"/>
      <c r="W59"/>
    </row>
    <row r="60" spans="17:24">
      <c r="V60"/>
      <c r="W60"/>
    </row>
  </sheetData>
  <sheetProtection password="9993" sheet="1" objects="1" scenarios="1" formatCells="0" formatColumns="0" formatRows="0"/>
  <dataConsolidate/>
  <mergeCells count="47">
    <mergeCell ref="U18:V18"/>
    <mergeCell ref="W18:X18"/>
    <mergeCell ref="U11:V11"/>
    <mergeCell ref="L16:P16"/>
    <mergeCell ref="B5:B12"/>
    <mergeCell ref="G5:G11"/>
    <mergeCell ref="R4:R5"/>
    <mergeCell ref="S4:T4"/>
    <mergeCell ref="U4:V4"/>
    <mergeCell ref="W4:X4"/>
    <mergeCell ref="W11:X11"/>
    <mergeCell ref="B33:B34"/>
    <mergeCell ref="R18:R19"/>
    <mergeCell ref="S18:T18"/>
    <mergeCell ref="B27:B28"/>
    <mergeCell ref="B23:B24"/>
    <mergeCell ref="B25:B26"/>
    <mergeCell ref="G26:G30"/>
    <mergeCell ref="G12:G18"/>
    <mergeCell ref="B13:B19"/>
    <mergeCell ref="R11:R12"/>
    <mergeCell ref="S11:T11"/>
    <mergeCell ref="G19:G25"/>
    <mergeCell ref="B20:B22"/>
    <mergeCell ref="B1:J1"/>
    <mergeCell ref="L1:P1"/>
    <mergeCell ref="R1:X1"/>
    <mergeCell ref="B3:E3"/>
    <mergeCell ref="G3:J3"/>
    <mergeCell ref="L3:P3"/>
    <mergeCell ref="R3:X3"/>
    <mergeCell ref="C44:U44"/>
    <mergeCell ref="C45:U45"/>
    <mergeCell ref="C30:E30"/>
    <mergeCell ref="D31:E31"/>
    <mergeCell ref="D32:E32"/>
    <mergeCell ref="D33:E33"/>
    <mergeCell ref="C35:E35"/>
    <mergeCell ref="D36:E36"/>
    <mergeCell ref="D37:E37"/>
    <mergeCell ref="D38:E38"/>
    <mergeCell ref="B41:U41"/>
    <mergeCell ref="C42:U42"/>
    <mergeCell ref="C43:U43"/>
    <mergeCell ref="U39:W39"/>
    <mergeCell ref="B35:B36"/>
    <mergeCell ref="B31:B32"/>
  </mergeCell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AB51"/>
  <sheetViews>
    <sheetView showGridLines="0" zoomScale="80" zoomScaleNormal="80" zoomScalePageLayoutView="80" workbookViewId="0">
      <selection activeCell="Z44" sqref="Z44"/>
    </sheetView>
  </sheetViews>
  <sheetFormatPr defaultColWidth="8.85546875" defaultRowHeight="15"/>
  <cols>
    <col min="1" max="1" width="2" style="1" customWidth="1"/>
    <col min="2" max="2" width="4" style="1" customWidth="1"/>
    <col min="3" max="3" width="33.28515625" style="2" customWidth="1"/>
    <col min="4" max="4" width="6.42578125" style="3" customWidth="1"/>
    <col min="5" max="5" width="8.7109375" style="1" customWidth="1"/>
    <col min="6" max="6" width="3.140625" style="1" customWidth="1"/>
    <col min="7" max="7" width="4" style="1" customWidth="1"/>
    <col min="8" max="8" width="25.42578125" style="1" customWidth="1"/>
    <col min="9" max="9" width="6.140625" style="1" customWidth="1"/>
    <col min="10" max="10" width="7.85546875" style="1" customWidth="1"/>
    <col min="11" max="11" width="3" style="1" customWidth="1"/>
    <col min="12" max="12" width="9.7109375" style="1" customWidth="1"/>
    <col min="13" max="13" width="10" style="209" customWidth="1"/>
    <col min="14" max="14" width="10.5703125" style="209" customWidth="1"/>
    <col min="15" max="15" width="12.5703125" style="209" customWidth="1"/>
    <col min="16" max="16" width="14.42578125" style="209" customWidth="1"/>
    <col min="17" max="17" width="3.140625" style="1" customWidth="1"/>
    <col min="18" max="18" width="9.28515625" style="1" customWidth="1"/>
    <col min="19" max="19" width="10.28515625" style="209" customWidth="1"/>
    <col min="20" max="20" width="10.5703125" style="209" customWidth="1"/>
    <col min="21" max="21" width="11.140625" style="209" customWidth="1"/>
    <col min="22" max="22" width="10.140625" style="209" customWidth="1"/>
    <col min="23" max="23" width="10.42578125" style="209" customWidth="1"/>
    <col min="24" max="24" width="14.28515625" style="209" customWidth="1"/>
    <col min="25" max="25" width="13" customWidth="1"/>
    <col min="26" max="26" width="13.140625" bestFit="1" customWidth="1"/>
    <col min="27" max="27" width="13" customWidth="1"/>
    <col min="28" max="28" width="10.140625" customWidth="1"/>
    <col min="29" max="29" width="10.85546875" bestFit="1" customWidth="1"/>
    <col min="30" max="30" width="12.42578125" customWidth="1"/>
    <col min="31" max="31" width="16.140625" customWidth="1"/>
    <col min="32" max="32" width="9.140625" customWidth="1"/>
    <col min="33" max="33" width="9.85546875" customWidth="1"/>
    <col min="34" max="34" width="14.140625" customWidth="1"/>
    <col min="35" max="35" width="18.42578125" customWidth="1"/>
    <col min="36" max="36" width="13.85546875" customWidth="1"/>
  </cols>
  <sheetData>
    <row r="1" spans="1:24">
      <c r="B1" s="417" t="s">
        <v>136</v>
      </c>
      <c r="C1" s="417"/>
      <c r="D1" s="417"/>
      <c r="E1" s="417"/>
      <c r="F1" s="417"/>
      <c r="G1" s="417"/>
      <c r="H1" s="417"/>
      <c r="I1" s="417"/>
      <c r="J1" s="417"/>
      <c r="L1" s="419" t="s">
        <v>137</v>
      </c>
      <c r="M1" s="419"/>
      <c r="N1" s="419"/>
      <c r="O1" s="419"/>
      <c r="P1" s="419"/>
      <c r="R1" s="418" t="s">
        <v>140</v>
      </c>
      <c r="S1" s="418"/>
      <c r="T1" s="418"/>
      <c r="U1" s="418"/>
      <c r="V1" s="418"/>
      <c r="W1" s="418"/>
      <c r="X1" s="418"/>
    </row>
    <row r="2" spans="1:24">
      <c r="L2"/>
      <c r="M2" s="196"/>
      <c r="N2" s="196"/>
      <c r="O2" s="196"/>
      <c r="P2" s="196"/>
      <c r="Q2"/>
      <c r="R2"/>
      <c r="X2" s="196"/>
    </row>
    <row r="3" spans="1:24" s="6" customFormat="1" ht="15" customHeight="1">
      <c r="A3" s="4"/>
      <c r="B3" s="411" t="s">
        <v>0</v>
      </c>
      <c r="C3" s="412"/>
      <c r="D3" s="412"/>
      <c r="E3" s="413"/>
      <c r="F3" s="5"/>
      <c r="G3" s="411" t="s">
        <v>1</v>
      </c>
      <c r="H3" s="412"/>
      <c r="I3" s="412"/>
      <c r="J3" s="413"/>
      <c r="K3" s="4"/>
      <c r="L3" s="421" t="s">
        <v>138</v>
      </c>
      <c r="M3" s="422"/>
      <c r="N3" s="422"/>
      <c r="O3" s="422"/>
      <c r="P3" s="423"/>
      <c r="Q3"/>
      <c r="R3" s="411" t="s">
        <v>172</v>
      </c>
      <c r="S3" s="424"/>
      <c r="T3" s="424"/>
      <c r="U3" s="424"/>
      <c r="V3" s="424"/>
      <c r="W3" s="424"/>
      <c r="X3" s="413"/>
    </row>
    <row r="4" spans="1:24" s="6" customFormat="1">
      <c r="A4" s="4"/>
      <c r="B4" s="138"/>
      <c r="C4" s="78" t="s">
        <v>2</v>
      </c>
      <c r="D4" s="79" t="s">
        <v>3</v>
      </c>
      <c r="E4" s="80" t="s">
        <v>4</v>
      </c>
      <c r="F4" s="7"/>
      <c r="G4" s="269"/>
      <c r="H4" s="130" t="s">
        <v>2</v>
      </c>
      <c r="I4" s="131" t="s">
        <v>3</v>
      </c>
      <c r="J4" s="132" t="s">
        <v>4</v>
      </c>
      <c r="K4" s="4"/>
      <c r="L4" s="224" t="s">
        <v>5</v>
      </c>
      <c r="M4" s="202" t="s">
        <v>146</v>
      </c>
      <c r="N4" s="202" t="s">
        <v>52</v>
      </c>
      <c r="O4" s="203" t="s">
        <v>6</v>
      </c>
      <c r="P4" s="204" t="s">
        <v>15</v>
      </c>
      <c r="Q4" s="8"/>
      <c r="R4" s="399" t="s">
        <v>31</v>
      </c>
      <c r="S4" s="425" t="s">
        <v>12</v>
      </c>
      <c r="T4" s="426"/>
      <c r="U4" s="434" t="s">
        <v>101</v>
      </c>
      <c r="V4" s="426"/>
      <c r="W4" s="425" t="s">
        <v>15</v>
      </c>
      <c r="X4" s="426"/>
    </row>
    <row r="5" spans="1:24" s="6" customFormat="1" ht="15" customHeight="1">
      <c r="A5" s="4"/>
      <c r="B5" s="403" t="s">
        <v>7</v>
      </c>
      <c r="C5" s="81" t="s">
        <v>8</v>
      </c>
      <c r="D5" s="82" t="s">
        <v>9</v>
      </c>
      <c r="E5" s="220">
        <f>(SUM(E6:E9))</f>
        <v>39824.999479601232</v>
      </c>
      <c r="F5" s="9"/>
      <c r="G5" s="404" t="s">
        <v>63</v>
      </c>
      <c r="H5" s="105" t="s">
        <v>62</v>
      </c>
      <c r="I5" s="14" t="s">
        <v>9</v>
      </c>
      <c r="J5" s="177">
        <f>SUM(J6:J8)</f>
        <v>61317.845101579762</v>
      </c>
      <c r="K5" s="10"/>
      <c r="L5" s="262" t="s">
        <v>10</v>
      </c>
      <c r="M5" s="200">
        <f>'Input &amp; Results'!C7</f>
        <v>36358.703999999998</v>
      </c>
      <c r="N5" s="200">
        <f>0</f>
        <v>0</v>
      </c>
      <c r="O5" s="200">
        <f>0</f>
        <v>0</v>
      </c>
      <c r="P5" s="201">
        <f>((X16*('Input &amp; Results'!H23/('Input &amp; Results'!H23+'Input &amp; Results'!H24)))/(1-'Input &amp; Results'!G5))/(1-'Input &amp; Results'!G6)</f>
        <v>3041.0474796012354</v>
      </c>
      <c r="Q5"/>
      <c r="R5" s="400"/>
      <c r="S5" s="239" t="s">
        <v>59</v>
      </c>
      <c r="T5" s="240" t="s">
        <v>60</v>
      </c>
      <c r="U5" s="241" t="s">
        <v>59</v>
      </c>
      <c r="V5" s="240" t="s">
        <v>60</v>
      </c>
      <c r="W5" s="241" t="s">
        <v>59</v>
      </c>
      <c r="X5" s="240" t="s">
        <v>60</v>
      </c>
    </row>
    <row r="6" spans="1:24" s="6" customFormat="1" ht="20.25" customHeight="1">
      <c r="A6" s="4"/>
      <c r="B6" s="404"/>
      <c r="C6" s="83" t="s">
        <v>163</v>
      </c>
      <c r="D6" s="13" t="s">
        <v>9</v>
      </c>
      <c r="E6" s="174">
        <f>'Input &amp; Results'!C7</f>
        <v>36358.703999999998</v>
      </c>
      <c r="F6" s="9"/>
      <c r="G6" s="404"/>
      <c r="H6" s="30" t="s">
        <v>12</v>
      </c>
      <c r="I6" s="14" t="s">
        <v>9</v>
      </c>
      <c r="J6" s="177">
        <f>M18</f>
        <v>58037.845101579762</v>
      </c>
      <c r="K6" s="4"/>
      <c r="L6" s="262" t="s">
        <v>13</v>
      </c>
      <c r="M6" s="200">
        <f>'Input &amp; Results'!C8</f>
        <v>59322.096000000005</v>
      </c>
      <c r="N6" s="200">
        <f>'Input &amp; Results'!C9</f>
        <v>1063.1200000000001</v>
      </c>
      <c r="O6" s="200">
        <f>'Input &amp; Results'!C12</f>
        <v>9568.08</v>
      </c>
      <c r="P6" s="201">
        <f>(X16*('Input &amp; Results'!H24/('Input &amp; Results'!H23+'Input &amp; Results'!H24)))/(1-'Input &amp; Results'!G6)</f>
        <v>3798.0945278802506</v>
      </c>
      <c r="Q6" s="33"/>
      <c r="R6" s="260" t="s">
        <v>63</v>
      </c>
      <c r="S6" s="215">
        <f>(O9*(1-'Input &amp; Results'!G9))*'Input &amp; Results'!C22/('Input &amp; Results'!C22+'Input &amp; Results'!C27)</f>
        <v>0</v>
      </c>
      <c r="T6" s="201">
        <f>'Input &amp; Results'!C22-S6</f>
        <v>58037.845101579762</v>
      </c>
      <c r="U6" s="200">
        <f>(O9*(1-'Input &amp; Results'!G9))*('Input &amp; Results'!C27/('Input &amp; Results'!C22+'Input &amp; Results'!C27))</f>
        <v>0</v>
      </c>
      <c r="V6" s="201">
        <f>'Input &amp; Results'!C27-U6</f>
        <v>3280</v>
      </c>
      <c r="W6" s="200">
        <f>'Input &amp; Results'!H27*'Input &amp; Results'!$G$17</f>
        <v>0</v>
      </c>
      <c r="X6" s="201">
        <f>'Input &amp; Results'!G21-M4PP!W6</f>
        <v>0</v>
      </c>
    </row>
    <row r="7" spans="1:24" s="6" customFormat="1">
      <c r="A7" s="4"/>
      <c r="B7" s="404"/>
      <c r="C7" s="84" t="s">
        <v>114</v>
      </c>
      <c r="D7" s="15" t="s">
        <v>9</v>
      </c>
      <c r="E7" s="175">
        <f>O5</f>
        <v>0</v>
      </c>
      <c r="F7" s="9"/>
      <c r="G7" s="404"/>
      <c r="H7" s="30" t="s">
        <v>15</v>
      </c>
      <c r="I7" s="14" t="s">
        <v>9</v>
      </c>
      <c r="J7" s="188">
        <f>O18</f>
        <v>0</v>
      </c>
      <c r="K7" s="4"/>
      <c r="L7" s="262" t="s">
        <v>11</v>
      </c>
      <c r="M7" s="200">
        <v>0</v>
      </c>
      <c r="N7" s="200">
        <v>0</v>
      </c>
      <c r="O7" s="200">
        <f>0</f>
        <v>0</v>
      </c>
      <c r="P7" s="201">
        <f>W15</f>
        <v>2738.8689799143503</v>
      </c>
      <c r="Q7"/>
      <c r="R7" s="260" t="s">
        <v>23</v>
      </c>
      <c r="S7" s="215">
        <f>(O8*(1-'Input &amp; Results'!G8))*'Input &amp; Results'!C21/('Input &amp; Results'!C21+'Input &amp; Results'!C26)</f>
        <v>0</v>
      </c>
      <c r="T7" s="201">
        <f>'Input &amp; Results'!C21-S7</f>
        <v>9550.5314724118598</v>
      </c>
      <c r="U7" s="200">
        <f>(O8*(1-'Input &amp; Results'!G8))*('Input &amp; Results'!C26/('Input &amp; Results'!C26+'Input &amp; Results'!C21))</f>
        <v>0</v>
      </c>
      <c r="V7" s="201">
        <f>'Input &amp; Results'!C26-U7</f>
        <v>574</v>
      </c>
      <c r="W7" s="200">
        <f>'Input &amp; Results'!H26*'Input &amp; Results'!$G$17</f>
        <v>990</v>
      </c>
      <c r="X7" s="201">
        <f>'Input &amp; Results'!G20-M4PP!W7</f>
        <v>990</v>
      </c>
    </row>
    <row r="8" spans="1:24" s="6" customFormat="1">
      <c r="A8" s="4"/>
      <c r="B8" s="404"/>
      <c r="C8" s="133" t="s">
        <v>164</v>
      </c>
      <c r="D8" s="13" t="s">
        <v>17</v>
      </c>
      <c r="E8" s="174">
        <f>'Input &amp; Results'!C10</f>
        <v>425.24799999999999</v>
      </c>
      <c r="F8" s="9"/>
      <c r="G8" s="404"/>
      <c r="H8" s="30" t="s">
        <v>18</v>
      </c>
      <c r="I8" s="14" t="s">
        <v>9</v>
      </c>
      <c r="J8" s="177">
        <f>N18</f>
        <v>3280</v>
      </c>
      <c r="K8" s="4"/>
      <c r="L8" s="262" t="s">
        <v>14</v>
      </c>
      <c r="M8" s="200">
        <v>0</v>
      </c>
      <c r="N8" s="200">
        <v>0</v>
      </c>
      <c r="O8" s="200">
        <f>0</f>
        <v>0</v>
      </c>
      <c r="P8" s="201">
        <f>W14</f>
        <v>1076.4432029795157</v>
      </c>
      <c r="Q8"/>
      <c r="R8" s="260" t="s">
        <v>29</v>
      </c>
      <c r="S8" s="215">
        <f>(O7*(1-'Input &amp; Results'!G7))*'Input &amp; Results'!C20/('Input &amp; Results'!C20+'Input &amp; Results'!C25)</f>
        <v>0</v>
      </c>
      <c r="T8" s="201">
        <f>'Input &amp; Results'!C20-S8</f>
        <v>5142.5938697602323</v>
      </c>
      <c r="U8" s="200">
        <f>(O7*(1-'Input &amp; Results'!G7))*('Input &amp; Results'!C25/('Input &amp; Results'!C25+'Input &amp; Results'!C20))</f>
        <v>0</v>
      </c>
      <c r="V8" s="201">
        <f>'Input &amp; Results'!C25-U8</f>
        <v>246</v>
      </c>
      <c r="W8" s="200">
        <f>'Input &amp; Results'!H25*'Input &amp; Results'!$G$17</f>
        <v>2574</v>
      </c>
      <c r="X8" s="201">
        <f>'Input &amp; Results'!G19-M4PP!W8</f>
        <v>396</v>
      </c>
    </row>
    <row r="9" spans="1:24" s="6" customFormat="1">
      <c r="A9" s="4"/>
      <c r="B9" s="404"/>
      <c r="C9" s="85" t="s">
        <v>145</v>
      </c>
      <c r="D9" s="16" t="s">
        <v>17</v>
      </c>
      <c r="E9" s="176">
        <f>P5</f>
        <v>3041.0474796012354</v>
      </c>
      <c r="F9" s="9"/>
      <c r="G9" s="404"/>
      <c r="H9" s="105" t="s">
        <v>64</v>
      </c>
      <c r="I9" s="14" t="s">
        <v>9</v>
      </c>
      <c r="J9" s="177">
        <f>P29</f>
        <v>10925.28513939699</v>
      </c>
      <c r="K9" s="4"/>
      <c r="L9" s="262" t="s">
        <v>55</v>
      </c>
      <c r="M9" s="200">
        <v>0</v>
      </c>
      <c r="N9" s="200">
        <v>0</v>
      </c>
      <c r="O9" s="200">
        <f>0</f>
        <v>0</v>
      </c>
      <c r="P9" s="201">
        <f>W13</f>
        <v>0</v>
      </c>
      <c r="Q9"/>
      <c r="R9" s="260" t="s">
        <v>35</v>
      </c>
      <c r="S9" s="244" t="s">
        <v>56</v>
      </c>
      <c r="T9" s="201">
        <f>'Input &amp; Results'!C19</f>
        <v>734.65626710860454</v>
      </c>
      <c r="U9" s="248" t="s">
        <v>56</v>
      </c>
      <c r="V9" s="201">
        <f>'Input &amp; Results'!C24</f>
        <v>0</v>
      </c>
      <c r="W9" s="200">
        <v>0</v>
      </c>
      <c r="X9" s="201">
        <f>'Input &amp; Results'!G18-M4PP!W9</f>
        <v>4950</v>
      </c>
    </row>
    <row r="10" spans="1:24" s="6" customFormat="1" ht="20.25" customHeight="1">
      <c r="A10" s="4"/>
      <c r="B10" s="404"/>
      <c r="C10" s="86" t="s">
        <v>168</v>
      </c>
      <c r="D10" s="17" t="s">
        <v>20</v>
      </c>
      <c r="E10" s="75">
        <f>'Input &amp; Results'!G5</f>
        <v>2.86E-2</v>
      </c>
      <c r="F10" s="9"/>
      <c r="G10" s="404"/>
      <c r="H10" s="106" t="s">
        <v>162</v>
      </c>
      <c r="I10" s="17" t="s">
        <v>20</v>
      </c>
      <c r="J10" s="75">
        <f>J9/J11</f>
        <v>0.15122939860100498</v>
      </c>
      <c r="K10" s="4"/>
      <c r="L10" s="118" t="s">
        <v>21</v>
      </c>
      <c r="M10" s="205">
        <f>M5+M6+M7+M8+M9</f>
        <v>95680.8</v>
      </c>
      <c r="N10" s="205">
        <f>N5+N6+N7+N8+N9</f>
        <v>1063.1200000000001</v>
      </c>
      <c r="O10" s="205">
        <f>O5+O6+O7+O8+O9</f>
        <v>9568.08</v>
      </c>
      <c r="P10" s="206">
        <f>P5+P6+P7+P8+P9</f>
        <v>10654.454190375351</v>
      </c>
      <c r="Q10" s="33"/>
      <c r="R10" s="267" t="s">
        <v>21</v>
      </c>
      <c r="S10" s="215">
        <f>S6+S7+S8</f>
        <v>0</v>
      </c>
      <c r="T10" s="201">
        <f>T6+T7+T8+T9</f>
        <v>73465.626710860466</v>
      </c>
      <c r="U10" s="200">
        <f>U6+U7+U8</f>
        <v>0</v>
      </c>
      <c r="V10" s="201">
        <f>V6+V7+V8+V9</f>
        <v>4100</v>
      </c>
      <c r="W10" s="200">
        <f>W6+W7+W8+W9</f>
        <v>3564</v>
      </c>
      <c r="X10" s="201">
        <f>X6+X7+X8+X9</f>
        <v>6336</v>
      </c>
    </row>
    <row r="11" spans="1:24" s="6" customFormat="1" ht="15" customHeight="1">
      <c r="A11" s="4"/>
      <c r="B11" s="404"/>
      <c r="C11" s="87" t="s">
        <v>169</v>
      </c>
      <c r="D11" s="19" t="s">
        <v>9</v>
      </c>
      <c r="E11" s="178">
        <f>M12+N12+O12+P12</f>
        <v>1126.8328923165952</v>
      </c>
      <c r="F11" s="9"/>
      <c r="G11" s="405"/>
      <c r="H11" s="137" t="s">
        <v>65</v>
      </c>
      <c r="I11" s="98" t="s">
        <v>9</v>
      </c>
      <c r="J11" s="222">
        <f>J5+J9</f>
        <v>72243.130240976752</v>
      </c>
      <c r="K11" s="10"/>
      <c r="L11" s="225" t="s">
        <v>22</v>
      </c>
      <c r="M11" s="202" t="s">
        <v>146</v>
      </c>
      <c r="N11" s="197" t="s">
        <v>52</v>
      </c>
      <c r="O11" s="203" t="s">
        <v>6</v>
      </c>
      <c r="P11" s="204" t="s">
        <v>15</v>
      </c>
      <c r="Q11"/>
      <c r="R11" s="399" t="s">
        <v>36</v>
      </c>
      <c r="S11" s="425" t="s">
        <v>12</v>
      </c>
      <c r="T11" s="426"/>
      <c r="U11" s="434" t="s">
        <v>101</v>
      </c>
      <c r="V11" s="426"/>
      <c r="W11" s="425" t="s">
        <v>15</v>
      </c>
      <c r="X11" s="426"/>
    </row>
    <row r="12" spans="1:24" s="6" customFormat="1" ht="15.95" customHeight="1">
      <c r="A12" s="4"/>
      <c r="B12" s="405"/>
      <c r="C12" s="88" t="s">
        <v>66</v>
      </c>
      <c r="D12" s="77" t="s">
        <v>9</v>
      </c>
      <c r="E12" s="221">
        <f>E5-E11</f>
        <v>38698.166587284635</v>
      </c>
      <c r="F12" s="9"/>
      <c r="G12" s="403" t="s">
        <v>23</v>
      </c>
      <c r="H12" s="112" t="s">
        <v>24</v>
      </c>
      <c r="I12" s="99" t="s">
        <v>9</v>
      </c>
      <c r="J12" s="187">
        <f>SUM(J13:J15)</f>
        <v>12104.53147241186</v>
      </c>
      <c r="K12" s="10"/>
      <c r="L12" s="116" t="s">
        <v>10</v>
      </c>
      <c r="M12" s="200">
        <f>M5*'Input &amp; Results'!G5</f>
        <v>1039.8589344</v>
      </c>
      <c r="N12" s="200">
        <f>N5*'Input &amp; Results'!G5</f>
        <v>0</v>
      </c>
      <c r="O12" s="200">
        <f>O5*'Input &amp; Results'!G5</f>
        <v>0</v>
      </c>
      <c r="P12" s="201">
        <f>P5*'Input &amp; Results'!G5</f>
        <v>86.973957916595339</v>
      </c>
      <c r="Q12" s="33"/>
      <c r="R12" s="400"/>
      <c r="S12" s="239" t="s">
        <v>59</v>
      </c>
      <c r="T12" s="240" t="s">
        <v>60</v>
      </c>
      <c r="U12" s="241" t="s">
        <v>59</v>
      </c>
      <c r="V12" s="240" t="s">
        <v>60</v>
      </c>
      <c r="W12" s="241" t="s">
        <v>59</v>
      </c>
      <c r="X12" s="240" t="s">
        <v>60</v>
      </c>
    </row>
    <row r="13" spans="1:24" s="6" customFormat="1" ht="15.95" customHeight="1">
      <c r="A13" s="4"/>
      <c r="B13" s="403" t="s">
        <v>25</v>
      </c>
      <c r="C13" s="81" t="s">
        <v>26</v>
      </c>
      <c r="D13" s="82" t="s">
        <v>9</v>
      </c>
      <c r="E13" s="220">
        <f>SUM(E14:E17)</f>
        <v>73326.142527880264</v>
      </c>
      <c r="F13" s="9"/>
      <c r="G13" s="404"/>
      <c r="H13" s="30" t="s">
        <v>12</v>
      </c>
      <c r="I13" s="14" t="s">
        <v>9</v>
      </c>
      <c r="J13" s="177">
        <f>M19</f>
        <v>9550.5314724118598</v>
      </c>
      <c r="K13" s="4"/>
      <c r="L13" s="116" t="s">
        <v>13</v>
      </c>
      <c r="M13" s="200">
        <f>(M5+M6-M12)*'Input &amp; Results'!G6</f>
        <v>3299.6293878508732</v>
      </c>
      <c r="N13" s="200">
        <f>(N5+N6-N12)*'Input &amp; Results'!G6+'M1Energy Handled '!N12*(1-'Input &amp; Results'!G6)</f>
        <v>48.803440159254365</v>
      </c>
      <c r="O13" s="200">
        <f>('M1Energy Handled '!O5+'M1Energy Handled '!O6)*'Input &amp; Results'!G6+('M1Energy Handled '!O12*(1-'Input &amp; Results'!G5))</f>
        <v>283.44512862564216</v>
      </c>
      <c r="P13" s="201">
        <f>(P6+P5-P12)*'Input &amp; Results'!G6</f>
        <v>235.41241113197481</v>
      </c>
      <c r="Q13" s="33"/>
      <c r="R13" s="260" t="s">
        <v>63</v>
      </c>
      <c r="S13" s="215">
        <f>S6/(1-'Input &amp; Results'!G9)</f>
        <v>0</v>
      </c>
      <c r="T13" s="201">
        <f>T6/(1-'Input &amp; Results'!G9)</f>
        <v>68378.717413065766</v>
      </c>
      <c r="U13" s="200">
        <f>U6/(1-'Input &amp; Results'!G9)</f>
        <v>0</v>
      </c>
      <c r="V13" s="201">
        <f>V6/(1-'Input &amp; Results'!G9)</f>
        <v>3864.4128279109873</v>
      </c>
      <c r="W13" s="200">
        <f>W6/(1-'Input &amp; Results'!G9)</f>
        <v>0</v>
      </c>
      <c r="X13" s="201">
        <f>X6/(1-'Input &amp; Results'!G9)</f>
        <v>0</v>
      </c>
    </row>
    <row r="14" spans="1:24" s="6" customFormat="1">
      <c r="A14" s="4"/>
      <c r="B14" s="404"/>
      <c r="C14" s="83" t="s">
        <v>163</v>
      </c>
      <c r="D14" s="13" t="s">
        <v>9</v>
      </c>
      <c r="E14" s="174">
        <f>'Input &amp; Results'!C8</f>
        <v>59322.096000000005</v>
      </c>
      <c r="F14" s="9"/>
      <c r="G14" s="404"/>
      <c r="H14" s="30" t="s">
        <v>15</v>
      </c>
      <c r="I14" s="14" t="s">
        <v>9</v>
      </c>
      <c r="J14" s="188">
        <f>O19</f>
        <v>1980</v>
      </c>
      <c r="K14" s="4"/>
      <c r="L14" s="118" t="s">
        <v>21</v>
      </c>
      <c r="M14" s="205">
        <f>M12+M13</f>
        <v>4339.4883222508734</v>
      </c>
      <c r="N14" s="205">
        <f>N12+N13</f>
        <v>48.803440159254365</v>
      </c>
      <c r="O14" s="205">
        <f>O12+O13</f>
        <v>283.44512862564216</v>
      </c>
      <c r="P14" s="206">
        <f>P12+P13</f>
        <v>322.38636904857015</v>
      </c>
      <c r="Q14" s="33"/>
      <c r="R14" s="260" t="s">
        <v>23</v>
      </c>
      <c r="S14" s="215">
        <f>S7/(1-'Input &amp; Results'!G8)</f>
        <v>0</v>
      </c>
      <c r="T14" s="201">
        <f>(T13+T7)/(1-'Input &amp; Results'!G8)</f>
        <v>84733.747753607473</v>
      </c>
      <c r="U14" s="200">
        <f>U7/(1-'Input &amp; Results'!G8)</f>
        <v>0</v>
      </c>
      <c r="V14" s="201">
        <f>(V13+V7)/(1-'Input &amp; Results'!G8)</f>
        <v>4825.9589097190646</v>
      </c>
      <c r="W14" s="200">
        <f>W7/(1-'Input &amp; Results'!G8)</f>
        <v>1076.4432029795157</v>
      </c>
      <c r="X14" s="201">
        <f>(X13+X7)/(1-'Input &amp; Results'!G8)</f>
        <v>1076.4432029795157</v>
      </c>
    </row>
    <row r="15" spans="1:24" s="6" customFormat="1" ht="14.45" customHeight="1">
      <c r="A15" s="4"/>
      <c r="B15" s="404"/>
      <c r="C15" s="84" t="s">
        <v>114</v>
      </c>
      <c r="D15" s="15" t="s">
        <v>9</v>
      </c>
      <c r="E15" s="175">
        <f>O6</f>
        <v>9568.08</v>
      </c>
      <c r="G15" s="404"/>
      <c r="H15" s="30" t="s">
        <v>18</v>
      </c>
      <c r="I15" s="14" t="s">
        <v>9</v>
      </c>
      <c r="J15" s="177">
        <f>N19</f>
        <v>574</v>
      </c>
      <c r="K15" s="4"/>
      <c r="L15" s="24"/>
      <c r="M15" s="207"/>
      <c r="N15" s="207"/>
      <c r="O15" s="207"/>
      <c r="P15" s="207"/>
      <c r="Q15" s="33"/>
      <c r="R15" s="260" t="s">
        <v>29</v>
      </c>
      <c r="S15" s="215">
        <f>S8/(1-'Input &amp; Results'!G7)</f>
        <v>0</v>
      </c>
      <c r="T15" s="201">
        <f>(T14+T8)/(1-'Input &amp; Results'!G7)</f>
        <v>95633.070746086567</v>
      </c>
      <c r="U15" s="200">
        <f>U8/(1-'Input &amp; Results'!G7)</f>
        <v>0</v>
      </c>
      <c r="V15" s="201">
        <f>(V14+V8)/(1-'Input &amp; Results'!G7)</f>
        <v>5396.8263112780714</v>
      </c>
      <c r="W15" s="200">
        <f>W8/(1-'Input &amp; Results'!G7)</f>
        <v>2738.8689799143503</v>
      </c>
      <c r="X15" s="201">
        <f>(X14+X8)/(1-'Input &amp; Results'!G7)</f>
        <v>1566.7556384329157</v>
      </c>
    </row>
    <row r="16" spans="1:24" s="6" customFormat="1" ht="15.95" customHeight="1">
      <c r="A16" s="4"/>
      <c r="B16" s="404"/>
      <c r="C16" s="133" t="s">
        <v>164</v>
      </c>
      <c r="D16" s="13" t="s">
        <v>9</v>
      </c>
      <c r="E16" s="174">
        <f>'Input &amp; Results'!C11</f>
        <v>637.87200000000018</v>
      </c>
      <c r="G16" s="404"/>
      <c r="H16" s="22" t="s">
        <v>27</v>
      </c>
      <c r="I16" s="14" t="s">
        <v>9</v>
      </c>
      <c r="J16" s="177">
        <f>P30</f>
        <v>7364.9313558969561</v>
      </c>
      <c r="K16" s="4"/>
      <c r="L16" s="421" t="s">
        <v>139</v>
      </c>
      <c r="M16" s="422"/>
      <c r="N16" s="422"/>
      <c r="O16" s="422"/>
      <c r="P16" s="423"/>
      <c r="Q16" s="24"/>
      <c r="R16" s="260" t="s">
        <v>35</v>
      </c>
      <c r="S16" s="244" t="s">
        <v>56</v>
      </c>
      <c r="T16" s="201">
        <f>T15+T9</f>
        <v>96367.727013195166</v>
      </c>
      <c r="U16" s="248" t="s">
        <v>56</v>
      </c>
      <c r="V16" s="201">
        <f>V15+V9</f>
        <v>5396.8263112780714</v>
      </c>
      <c r="W16" s="248" t="s">
        <v>56</v>
      </c>
      <c r="X16" s="201">
        <f>X15+X9</f>
        <v>6516.7556384329155</v>
      </c>
    </row>
    <row r="17" spans="1:28" s="6" customFormat="1" ht="18.75" customHeight="1">
      <c r="A17" s="4"/>
      <c r="B17" s="404"/>
      <c r="C17" s="85" t="s">
        <v>145</v>
      </c>
      <c r="D17" s="16" t="s">
        <v>17</v>
      </c>
      <c r="E17" s="176">
        <f>P6</f>
        <v>3798.0945278802506</v>
      </c>
      <c r="G17" s="404"/>
      <c r="H17" s="22" t="s">
        <v>57</v>
      </c>
      <c r="I17" s="22" t="s">
        <v>20</v>
      </c>
      <c r="J17" s="75">
        <f>J16/J18</f>
        <v>8.0304471931493801E-2</v>
      </c>
      <c r="K17" s="4"/>
      <c r="L17" s="225" t="s">
        <v>31</v>
      </c>
      <c r="M17" s="197" t="s">
        <v>12</v>
      </c>
      <c r="N17" s="197" t="s">
        <v>32</v>
      </c>
      <c r="O17" s="198" t="s">
        <v>61</v>
      </c>
      <c r="P17" s="199" t="s">
        <v>21</v>
      </c>
      <c r="R17" s="261" t="s">
        <v>21</v>
      </c>
      <c r="S17" s="216">
        <f>SUM(S13:S15)</f>
        <v>0</v>
      </c>
      <c r="T17" s="206">
        <f>SUM(T13:T16)</f>
        <v>345113.262925955</v>
      </c>
      <c r="U17" s="205">
        <f>SUM(U13:U15)</f>
        <v>0</v>
      </c>
      <c r="V17" s="206">
        <f>SUM(V13:V16)</f>
        <v>19484.024360186195</v>
      </c>
      <c r="W17" s="205">
        <f>SUM(W13:W15)</f>
        <v>3815.3121828938661</v>
      </c>
      <c r="X17" s="206">
        <f>SUM(X13:X16)</f>
        <v>9159.9544798453462</v>
      </c>
    </row>
    <row r="18" spans="1:28" s="6" customFormat="1">
      <c r="A18" s="4"/>
      <c r="B18" s="404"/>
      <c r="C18" s="86" t="s">
        <v>170</v>
      </c>
      <c r="D18" s="23" t="s">
        <v>20</v>
      </c>
      <c r="E18" s="75">
        <f>'Input &amp; Results'!G6</f>
        <v>3.4864714474507896E-2</v>
      </c>
      <c r="F18" s="21"/>
      <c r="G18" s="405"/>
      <c r="H18" s="113" t="s">
        <v>28</v>
      </c>
      <c r="I18" s="100" t="s">
        <v>17</v>
      </c>
      <c r="J18" s="222">
        <f>J12+J11+J16</f>
        <v>91712.593069285576</v>
      </c>
      <c r="K18" s="10"/>
      <c r="L18" s="262" t="s">
        <v>63</v>
      </c>
      <c r="M18" s="200">
        <f>S6+T6</f>
        <v>58037.845101579762</v>
      </c>
      <c r="N18" s="200">
        <f>U6+V6</f>
        <v>3280</v>
      </c>
      <c r="O18" s="200">
        <f>W6+X6</f>
        <v>0</v>
      </c>
      <c r="P18" s="201">
        <f>M18+N18+O18</f>
        <v>61317.845101579762</v>
      </c>
      <c r="R18" s="399" t="s">
        <v>22</v>
      </c>
      <c r="S18" s="431" t="s">
        <v>12</v>
      </c>
      <c r="T18" s="430"/>
      <c r="U18" s="429" t="s">
        <v>101</v>
      </c>
      <c r="V18" s="430"/>
      <c r="W18" s="429" t="s">
        <v>15</v>
      </c>
      <c r="X18" s="430"/>
    </row>
    <row r="19" spans="1:28" s="6" customFormat="1" ht="15.95" customHeight="1">
      <c r="A19" s="4"/>
      <c r="B19" s="405"/>
      <c r="C19" s="90" t="s">
        <v>171</v>
      </c>
      <c r="D19" s="91" t="s">
        <v>9</v>
      </c>
      <c r="E19" s="235">
        <f>M13+N13+O13+P13-X26-X27-X28</f>
        <v>3743.1715843460775</v>
      </c>
      <c r="F19" s="9"/>
      <c r="G19" s="403" t="s">
        <v>29</v>
      </c>
      <c r="H19" s="112" t="s">
        <v>30</v>
      </c>
      <c r="I19" s="28" t="s">
        <v>9</v>
      </c>
      <c r="J19" s="177">
        <f>SUM(J20:J22)</f>
        <v>8358.5938697602323</v>
      </c>
      <c r="K19" s="10"/>
      <c r="L19" s="262" t="s">
        <v>23</v>
      </c>
      <c r="M19" s="200">
        <f>S7+T7</f>
        <v>9550.5314724118598</v>
      </c>
      <c r="N19" s="200">
        <f>U7+V7</f>
        <v>574</v>
      </c>
      <c r="O19" s="200">
        <f>W7+X7</f>
        <v>1980</v>
      </c>
      <c r="P19" s="201">
        <f>M19+N19+O19</f>
        <v>12104.53147241186</v>
      </c>
      <c r="R19" s="400"/>
      <c r="S19" s="239" t="s">
        <v>59</v>
      </c>
      <c r="T19" s="240" t="s">
        <v>60</v>
      </c>
      <c r="U19" s="241" t="s">
        <v>59</v>
      </c>
      <c r="V19" s="240" t="s">
        <v>60</v>
      </c>
      <c r="W19" s="241" t="s">
        <v>59</v>
      </c>
      <c r="X19" s="240" t="s">
        <v>60</v>
      </c>
    </row>
    <row r="20" spans="1:28" s="6" customFormat="1" ht="15.75" customHeight="1">
      <c r="A20" s="4"/>
      <c r="B20" s="403" t="s">
        <v>11</v>
      </c>
      <c r="C20" s="78" t="s">
        <v>54</v>
      </c>
      <c r="D20" s="92" t="s">
        <v>9</v>
      </c>
      <c r="E20" s="180">
        <f>E21+E22+E23+E24+E25+E26</f>
        <v>3815.3121828938661</v>
      </c>
      <c r="F20" s="9"/>
      <c r="G20" s="404"/>
      <c r="H20" s="30" t="s">
        <v>12</v>
      </c>
      <c r="I20" s="14" t="s">
        <v>9</v>
      </c>
      <c r="J20" s="177">
        <f>M20</f>
        <v>5142.5938697602323</v>
      </c>
      <c r="K20" s="4"/>
      <c r="L20" s="262" t="s">
        <v>29</v>
      </c>
      <c r="M20" s="200">
        <f>S8+T8</f>
        <v>5142.5938697602323</v>
      </c>
      <c r="N20" s="200">
        <f>U8+V8</f>
        <v>246</v>
      </c>
      <c r="O20" s="200">
        <f>W8+X8</f>
        <v>2970</v>
      </c>
      <c r="P20" s="201">
        <f>M20+N20+O20</f>
        <v>8358.5938697602323</v>
      </c>
      <c r="R20" s="260" t="s">
        <v>63</v>
      </c>
      <c r="S20" s="215">
        <f t="shared" ref="S20:X20" si="0">S13-S6</f>
        <v>0</v>
      </c>
      <c r="T20" s="201">
        <f t="shared" si="0"/>
        <v>10340.872311486004</v>
      </c>
      <c r="U20" s="200">
        <f t="shared" si="0"/>
        <v>0</v>
      </c>
      <c r="V20" s="201">
        <f t="shared" si="0"/>
        <v>584.41282791098729</v>
      </c>
      <c r="W20" s="200">
        <f t="shared" si="0"/>
        <v>0</v>
      </c>
      <c r="X20" s="201">
        <f t="shared" si="0"/>
        <v>0</v>
      </c>
    </row>
    <row r="21" spans="1:28" s="6" customFormat="1">
      <c r="A21" s="4"/>
      <c r="B21" s="404"/>
      <c r="C21" s="24" t="s">
        <v>147</v>
      </c>
      <c r="D21" s="24" t="s">
        <v>9</v>
      </c>
      <c r="E21" s="181">
        <f>O7</f>
        <v>0</v>
      </c>
      <c r="F21" s="25"/>
      <c r="G21" s="404"/>
      <c r="H21" s="30" t="s">
        <v>15</v>
      </c>
      <c r="I21" s="14" t="s">
        <v>9</v>
      </c>
      <c r="J21" s="188">
        <f>O20</f>
        <v>2970</v>
      </c>
      <c r="K21" s="4"/>
      <c r="L21" s="262" t="s">
        <v>35</v>
      </c>
      <c r="M21" s="200">
        <f>T9</f>
        <v>734.65626710860454</v>
      </c>
      <c r="N21" s="200">
        <f>V9</f>
        <v>0</v>
      </c>
      <c r="O21" s="200">
        <f>W9+X9</f>
        <v>4950</v>
      </c>
      <c r="P21" s="201">
        <f>M21+N21+O21</f>
        <v>5684.6562671086049</v>
      </c>
      <c r="R21" s="260" t="s">
        <v>23</v>
      </c>
      <c r="S21" s="215">
        <f>S14-S7</f>
        <v>0</v>
      </c>
      <c r="T21" s="201">
        <f>T14-T13-T7</f>
        <v>6804.4988681298473</v>
      </c>
      <c r="U21" s="200">
        <f>U14-U7</f>
        <v>0</v>
      </c>
      <c r="V21" s="201">
        <f>V14-V7-V13</f>
        <v>387.54608180807736</v>
      </c>
      <c r="W21" s="200">
        <f>W14-W7</f>
        <v>86.443202979515718</v>
      </c>
      <c r="X21" s="201">
        <f>X14-X7-X13</f>
        <v>86.443202979515718</v>
      </c>
    </row>
    <row r="22" spans="1:28" s="6" customFormat="1" ht="18.75" customHeight="1">
      <c r="A22" s="4"/>
      <c r="B22" s="405"/>
      <c r="C22" s="93" t="s">
        <v>145</v>
      </c>
      <c r="D22" s="93" t="s">
        <v>9</v>
      </c>
      <c r="E22" s="182">
        <f>P7</f>
        <v>2738.8689799143503</v>
      </c>
      <c r="F22" s="18"/>
      <c r="G22" s="404"/>
      <c r="H22" s="30" t="s">
        <v>18</v>
      </c>
      <c r="I22" s="14" t="s">
        <v>9</v>
      </c>
      <c r="J22" s="177">
        <f>N20</f>
        <v>246</v>
      </c>
      <c r="K22" s="4"/>
      <c r="L22" s="268" t="s">
        <v>21</v>
      </c>
      <c r="M22" s="200">
        <f>M21+M20+M19+M18</f>
        <v>73465.626710860466</v>
      </c>
      <c r="N22" s="200">
        <f>N21+N20+N19+N18</f>
        <v>4100</v>
      </c>
      <c r="O22" s="200">
        <f>O21+O20+O19+O18</f>
        <v>9900</v>
      </c>
      <c r="P22" s="201">
        <f>SUM(P18:P21)</f>
        <v>87465.626710860466</v>
      </c>
      <c r="R22" s="264" t="s">
        <v>29</v>
      </c>
      <c r="S22" s="216">
        <f>S15-S8</f>
        <v>0</v>
      </c>
      <c r="T22" s="206">
        <f>T15-T14-T8</f>
        <v>5756.7291227188616</v>
      </c>
      <c r="U22" s="205">
        <f>U15-U8</f>
        <v>0</v>
      </c>
      <c r="V22" s="206">
        <f>V15-V8-V14</f>
        <v>324.86740155900679</v>
      </c>
      <c r="W22" s="205">
        <f>W15-W8</f>
        <v>164.86897991435035</v>
      </c>
      <c r="X22" s="206">
        <f>X15-X8-X14</f>
        <v>94.312435453399985</v>
      </c>
    </row>
    <row r="23" spans="1:28" s="6" customFormat="1" ht="15" customHeight="1">
      <c r="A23" s="4"/>
      <c r="B23" s="441" t="s">
        <v>14</v>
      </c>
      <c r="C23" s="24" t="s">
        <v>115</v>
      </c>
      <c r="D23" s="245" t="s">
        <v>9</v>
      </c>
      <c r="E23" s="183">
        <f>O8</f>
        <v>0</v>
      </c>
      <c r="F23" s="27"/>
      <c r="G23" s="404"/>
      <c r="H23" s="114" t="s">
        <v>33</v>
      </c>
      <c r="I23" s="28" t="s">
        <v>9</v>
      </c>
      <c r="J23" s="177">
        <f>P31</f>
        <v>6340.777939645619</v>
      </c>
      <c r="K23" s="4"/>
      <c r="L23" s="224" t="s">
        <v>36</v>
      </c>
      <c r="M23" s="249" t="s">
        <v>12</v>
      </c>
      <c r="N23" s="249" t="s">
        <v>32</v>
      </c>
      <c r="O23" s="250" t="s">
        <v>61</v>
      </c>
      <c r="P23" s="204" t="s">
        <v>21</v>
      </c>
      <c r="S23" s="208"/>
      <c r="T23" s="208"/>
      <c r="U23" s="208"/>
      <c r="V23" s="208"/>
      <c r="W23" s="208"/>
      <c r="X23" s="208"/>
      <c r="Z23" s="21"/>
    </row>
    <row r="24" spans="1:28" s="6" customFormat="1" ht="14.25" customHeight="1">
      <c r="A24" s="4"/>
      <c r="B24" s="442"/>
      <c r="C24" s="93" t="s">
        <v>19</v>
      </c>
      <c r="D24" s="93" t="s">
        <v>9</v>
      </c>
      <c r="E24" s="237">
        <f>P8</f>
        <v>1076.4432029795157</v>
      </c>
      <c r="F24" s="29"/>
      <c r="G24" s="404"/>
      <c r="H24" s="22" t="s">
        <v>58</v>
      </c>
      <c r="I24" s="17" t="s">
        <v>20</v>
      </c>
      <c r="J24" s="75">
        <f>J23/J25</f>
        <v>5.9587076950172305E-2</v>
      </c>
      <c r="K24" s="4"/>
      <c r="L24" s="262" t="s">
        <v>63</v>
      </c>
      <c r="M24" s="200">
        <f>S13+T13</f>
        <v>68378.717413065766</v>
      </c>
      <c r="N24" s="200">
        <f>U13+V13</f>
        <v>3864.4128279109873</v>
      </c>
      <c r="O24" s="200">
        <f>W13+X13</f>
        <v>0</v>
      </c>
      <c r="P24" s="201">
        <f>M24+N24+O24</f>
        <v>72243.130240976752</v>
      </c>
      <c r="R24" s="411" t="s">
        <v>86</v>
      </c>
      <c r="S24" s="424"/>
      <c r="T24" s="424"/>
      <c r="U24" s="424"/>
      <c r="V24" s="424"/>
      <c r="W24" s="424"/>
      <c r="X24" s="413"/>
      <c r="Y24" s="50"/>
      <c r="Z24" s="21"/>
    </row>
    <row r="25" spans="1:28" s="6" customFormat="1" ht="39">
      <c r="A25" s="4"/>
      <c r="B25" s="443" t="s">
        <v>16</v>
      </c>
      <c r="C25" s="24" t="s">
        <v>115</v>
      </c>
      <c r="D25" s="16" t="s">
        <v>9</v>
      </c>
      <c r="E25" s="185">
        <f>O9</f>
        <v>0</v>
      </c>
      <c r="F25" s="24"/>
      <c r="G25" s="405"/>
      <c r="H25" s="115" t="s">
        <v>34</v>
      </c>
      <c r="I25" s="135" t="s">
        <v>17</v>
      </c>
      <c r="J25" s="238">
        <f>J19+J18+J23</f>
        <v>106411.96487869143</v>
      </c>
      <c r="K25" s="10"/>
      <c r="L25" s="262" t="s">
        <v>23</v>
      </c>
      <c r="M25" s="200">
        <f>S14+T14</f>
        <v>84733.747753607473</v>
      </c>
      <c r="N25" s="200">
        <f>U14+V14</f>
        <v>4825.9589097190646</v>
      </c>
      <c r="O25" s="200">
        <f>W14+X14</f>
        <v>2152.8864059590314</v>
      </c>
      <c r="P25" s="201">
        <f>M25+N25+O25</f>
        <v>91712.593069285562</v>
      </c>
      <c r="R25" s="246" t="s">
        <v>31</v>
      </c>
      <c r="S25" s="439" t="s">
        <v>143</v>
      </c>
      <c r="T25" s="439"/>
      <c r="U25" s="439" t="s">
        <v>144</v>
      </c>
      <c r="V25" s="439"/>
      <c r="W25" s="251" t="s">
        <v>67</v>
      </c>
      <c r="X25" s="252" t="s">
        <v>68</v>
      </c>
      <c r="Y25" s="12"/>
      <c r="Z25" s="12"/>
      <c r="AB25" s="21"/>
    </row>
    <row r="26" spans="1:28" s="6" customFormat="1" ht="15.75" customHeight="1">
      <c r="A26" s="4"/>
      <c r="B26" s="442"/>
      <c r="C26" s="93" t="s">
        <v>19</v>
      </c>
      <c r="D26" s="76" t="s">
        <v>9</v>
      </c>
      <c r="E26" s="186">
        <f>P9</f>
        <v>0</v>
      </c>
      <c r="F26" s="5"/>
      <c r="G26" s="404" t="s">
        <v>35</v>
      </c>
      <c r="H26" s="101" t="s">
        <v>161</v>
      </c>
      <c r="I26" s="136" t="s">
        <v>17</v>
      </c>
      <c r="J26" s="187">
        <f>SUM(J27:J29)</f>
        <v>5684.6562671086049</v>
      </c>
      <c r="K26" s="4"/>
      <c r="L26" s="262" t="s">
        <v>29</v>
      </c>
      <c r="M26" s="200">
        <f>S15+T15</f>
        <v>95633.070746086567</v>
      </c>
      <c r="N26" s="200">
        <f>U15+V15</f>
        <v>5396.8263112780714</v>
      </c>
      <c r="O26" s="200">
        <f>W15+X15</f>
        <v>4305.6246183472658</v>
      </c>
      <c r="P26" s="201">
        <f>M26+N26+O26</f>
        <v>105335.52167571191</v>
      </c>
      <c r="R26" s="260" t="s">
        <v>63</v>
      </c>
      <c r="S26" s="432">
        <f>('M1Energy Handled '!S6+'M1Energy Handled '!U6)/(1-'Input &amp; Results'!G9)</f>
        <v>478.404</v>
      </c>
      <c r="T26" s="432"/>
      <c r="U26" s="432">
        <f>S26-'M1Energy Handled '!S6-'M1Energy Handled '!U6</f>
        <v>72.348749208315141</v>
      </c>
      <c r="V26" s="432"/>
      <c r="W26" s="218">
        <f>'M1Energy Handled '!S20+'M1Energy Handled '!U20</f>
        <v>72.348749208315141</v>
      </c>
      <c r="X26" s="242">
        <f>U26-W26</f>
        <v>0</v>
      </c>
      <c r="Y26" s="12"/>
      <c r="Z26" s="12"/>
    </row>
    <row r="27" spans="1:28" s="6" customFormat="1">
      <c r="A27" s="4"/>
      <c r="B27" s="409"/>
      <c r="C27" s="266" t="s">
        <v>165</v>
      </c>
      <c r="D27" s="47" t="s">
        <v>9</v>
      </c>
      <c r="E27" s="179">
        <f>E12+E13-E19+E20</f>
        <v>112096.44971371267</v>
      </c>
      <c r="F27" s="24"/>
      <c r="G27" s="404"/>
      <c r="H27" s="30" t="s">
        <v>12</v>
      </c>
      <c r="I27" s="14" t="s">
        <v>9</v>
      </c>
      <c r="J27" s="177">
        <f>M21</f>
        <v>734.65626710860454</v>
      </c>
      <c r="K27" s="4"/>
      <c r="L27" s="265" t="s">
        <v>35</v>
      </c>
      <c r="M27" s="205">
        <f>T16</f>
        <v>96367.727013195166</v>
      </c>
      <c r="N27" s="205">
        <f>V16</f>
        <v>5396.8263112780714</v>
      </c>
      <c r="O27" s="205">
        <f>X16</f>
        <v>6516.7556384329155</v>
      </c>
      <c r="P27" s="206">
        <f>M27+N27+O27</f>
        <v>108281.30896290616</v>
      </c>
      <c r="R27" s="260" t="s">
        <v>23</v>
      </c>
      <c r="S27" s="432">
        <f>(S26+'M1Energy Handled '!S7+'M1Energy Handled '!U7)/(1-'Input &amp; Results'!G8)</f>
        <v>1285.6228990689012</v>
      </c>
      <c r="T27" s="432"/>
      <c r="U27" s="432">
        <f>S27-S26-'M1Energy Handled '!S7-'M1Energy Handled '!U7</f>
        <v>103.24126801276424</v>
      </c>
      <c r="V27" s="432"/>
      <c r="W27" s="218">
        <f>'M1Energy Handled '!S21+'M1Energy Handled '!U21</f>
        <v>61.46876894386299</v>
      </c>
      <c r="X27" s="242">
        <f>U27-W27</f>
        <v>41.772499068901247</v>
      </c>
      <c r="AA27" s="52"/>
    </row>
    <row r="28" spans="1:28" s="6" customFormat="1" ht="14.45" customHeight="1">
      <c r="A28" s="4"/>
      <c r="B28" s="410"/>
      <c r="C28" s="140" t="s">
        <v>39</v>
      </c>
      <c r="D28" s="76" t="s">
        <v>9</v>
      </c>
      <c r="E28" s="256">
        <f>E27-J30</f>
        <v>-0.17143208735797089</v>
      </c>
      <c r="F28" s="31"/>
      <c r="G28" s="404"/>
      <c r="H28" s="30" t="s">
        <v>15</v>
      </c>
      <c r="I28" s="14" t="s">
        <v>9</v>
      </c>
      <c r="J28" s="188">
        <f>O21</f>
        <v>4950</v>
      </c>
      <c r="K28" s="4"/>
      <c r="L28" s="227" t="s">
        <v>38</v>
      </c>
      <c r="M28" s="197" t="s">
        <v>12</v>
      </c>
      <c r="N28" s="197" t="s">
        <v>32</v>
      </c>
      <c r="O28" s="198" t="s">
        <v>61</v>
      </c>
      <c r="P28" s="199" t="s">
        <v>21</v>
      </c>
      <c r="R28" s="264" t="s">
        <v>29</v>
      </c>
      <c r="S28" s="440">
        <f>(S27+'M1Energy Handled '!S8+'M1Energy Handled '!U8)/(1-'Input &amp; Results'!G7)</f>
        <v>2324.7771834216669</v>
      </c>
      <c r="T28" s="440"/>
      <c r="U28" s="440">
        <f>S28-S27-'M1Energy Handled '!S8-'M1Energy Handled '!U8</f>
        <v>139.9423066856132</v>
      </c>
      <c r="V28" s="440"/>
      <c r="W28" s="253">
        <f>'M1Energy Handled '!S22+'M1Energy Handled '!U22</f>
        <v>57.596022332847397</v>
      </c>
      <c r="X28" s="254">
        <f>U28-W28</f>
        <v>82.346284352765807</v>
      </c>
      <c r="AA28" s="52"/>
      <c r="AB28" s="21"/>
    </row>
    <row r="29" spans="1:28" s="6" customFormat="1" ht="15" customHeight="1" thickBot="1">
      <c r="A29" s="4"/>
      <c r="F29" s="31"/>
      <c r="G29" s="404"/>
      <c r="H29" s="30" t="s">
        <v>18</v>
      </c>
      <c r="I29" s="14" t="s">
        <v>9</v>
      </c>
      <c r="J29" s="177">
        <f>N21</f>
        <v>0</v>
      </c>
      <c r="K29" s="10"/>
      <c r="L29" s="262" t="s">
        <v>63</v>
      </c>
      <c r="M29" s="200">
        <f>S20+T20</f>
        <v>10340.872311486004</v>
      </c>
      <c r="N29" s="200">
        <f>U20+V20</f>
        <v>584.41282791098729</v>
      </c>
      <c r="O29" s="200">
        <f>W20+X20</f>
        <v>0</v>
      </c>
      <c r="P29" s="201">
        <f>M29+N29+O29</f>
        <v>10925.28513939699</v>
      </c>
      <c r="S29" s="208"/>
      <c r="T29" s="208"/>
      <c r="U29" s="208"/>
      <c r="V29" s="208"/>
      <c r="W29" s="208"/>
      <c r="X29" s="208"/>
    </row>
    <row r="30" spans="1:28" s="6" customFormat="1">
      <c r="A30" s="24"/>
      <c r="B30" s="26"/>
      <c r="C30" s="414" t="s">
        <v>37</v>
      </c>
      <c r="D30" s="415"/>
      <c r="E30" s="416"/>
      <c r="F30" s="31"/>
      <c r="G30" s="405"/>
      <c r="H30" s="97" t="s">
        <v>166</v>
      </c>
      <c r="I30" s="97"/>
      <c r="J30" s="223">
        <f>J26+J25</f>
        <v>112096.62114580003</v>
      </c>
      <c r="K30" s="10"/>
      <c r="L30" s="262" t="s">
        <v>23</v>
      </c>
      <c r="M30" s="200">
        <f>S21+T21</f>
        <v>6804.4988681298473</v>
      </c>
      <c r="N30" s="200">
        <f>U21+V21</f>
        <v>387.54608180807736</v>
      </c>
      <c r="O30" s="200">
        <f>W21+X21</f>
        <v>172.88640595903144</v>
      </c>
      <c r="P30" s="201">
        <f>M30+N30+O30</f>
        <v>7364.9313558969561</v>
      </c>
      <c r="S30" s="208"/>
      <c r="T30" s="208"/>
      <c r="U30" s="208"/>
      <c r="V30" s="208"/>
      <c r="W30" s="208"/>
      <c r="X30" s="208"/>
    </row>
    <row r="31" spans="1:28" s="6" customFormat="1">
      <c r="A31" s="24"/>
      <c r="B31" s="408"/>
      <c r="C31" s="11" t="s">
        <v>40</v>
      </c>
      <c r="D31" s="390">
        <f>E27+E19</f>
        <v>115839.62129805876</v>
      </c>
      <c r="E31" s="391"/>
      <c r="F31" s="31"/>
      <c r="G31" s="24"/>
      <c r="H31" s="24"/>
      <c r="I31" s="24"/>
      <c r="J31" s="24"/>
      <c r="K31" s="10"/>
      <c r="L31" s="265" t="s">
        <v>29</v>
      </c>
      <c r="M31" s="205">
        <f>S22+T22</f>
        <v>5756.7291227188616</v>
      </c>
      <c r="N31" s="205">
        <f>U22+V22</f>
        <v>324.86740155900679</v>
      </c>
      <c r="O31" s="205">
        <f>W22+X22</f>
        <v>259.18141536775033</v>
      </c>
      <c r="P31" s="206">
        <f>M31+N31+O31</f>
        <v>6340.777939645619</v>
      </c>
      <c r="S31" s="208"/>
      <c r="T31" s="208"/>
      <c r="U31" s="208"/>
      <c r="V31" s="208"/>
      <c r="W31" s="208"/>
      <c r="X31" s="208"/>
    </row>
    <row r="32" spans="1:28" s="6" customFormat="1">
      <c r="A32" s="24"/>
      <c r="B32" s="408"/>
      <c r="C32" s="11" t="s">
        <v>41</v>
      </c>
      <c r="D32" s="390">
        <f>J26+J19+J12+J5</f>
        <v>87465.626710860466</v>
      </c>
      <c r="E32" s="391"/>
      <c r="F32" s="26"/>
      <c r="G32" s="24"/>
      <c r="J32" s="24"/>
      <c r="K32" s="10"/>
      <c r="M32" s="208"/>
      <c r="N32" s="208"/>
      <c r="O32" s="208"/>
      <c r="P32" s="208"/>
      <c r="S32" s="208"/>
      <c r="T32" s="208"/>
      <c r="U32" s="208"/>
      <c r="V32" s="208"/>
      <c r="W32" s="208"/>
      <c r="X32" s="208"/>
    </row>
    <row r="33" spans="1:24" ht="14.1" customHeight="1" thickBot="1">
      <c r="A33" s="31"/>
      <c r="B33" s="420"/>
      <c r="C33" s="144" t="s">
        <v>42</v>
      </c>
      <c r="D33" s="392">
        <f>(D31-D32-E28)/D31</f>
        <v>0.24494353228484825</v>
      </c>
      <c r="E33" s="393"/>
      <c r="F33" s="26"/>
      <c r="G33" s="24"/>
      <c r="J33" s="24"/>
      <c r="K33" s="10"/>
      <c r="S33" s="208"/>
      <c r="T33" s="208"/>
    </row>
    <row r="34" spans="1:24" ht="15" customHeight="1" thickBot="1">
      <c r="A34" s="31"/>
      <c r="B34" s="420"/>
      <c r="C34" s="40"/>
      <c r="D34" s="16"/>
      <c r="E34" s="31"/>
      <c r="F34" s="26"/>
      <c r="G34" s="24"/>
      <c r="J34" s="24"/>
      <c r="K34" s="10"/>
    </row>
    <row r="35" spans="1:24" ht="15" customHeight="1">
      <c r="A35" s="31"/>
      <c r="B35" s="408"/>
      <c r="C35" s="414" t="s">
        <v>78</v>
      </c>
      <c r="D35" s="415"/>
      <c r="E35" s="416"/>
      <c r="F35" s="26"/>
      <c r="G35" s="24"/>
      <c r="J35" s="24"/>
      <c r="K35" s="10"/>
    </row>
    <row r="36" spans="1:24" ht="15" customHeight="1">
      <c r="A36" s="31"/>
      <c r="B36" s="408"/>
      <c r="C36" s="11" t="s">
        <v>40</v>
      </c>
      <c r="D36" s="390">
        <f>M29+M30+M31+N31+N30+N29+D37</f>
        <v>101764.55332447325</v>
      </c>
      <c r="E36" s="391"/>
      <c r="F36" s="26"/>
      <c r="G36" s="24"/>
      <c r="H36" s="24"/>
      <c r="I36" s="24"/>
      <c r="J36" s="24"/>
      <c r="K36" s="10"/>
    </row>
    <row r="37" spans="1:24" ht="15.95" customHeight="1">
      <c r="A37" s="31"/>
      <c r="B37" s="46"/>
      <c r="C37" s="11" t="s">
        <v>41</v>
      </c>
      <c r="D37" s="390">
        <f>M22+N22</f>
        <v>77565.626710860466</v>
      </c>
      <c r="E37" s="391"/>
      <c r="F37" s="26"/>
      <c r="G37" s="24"/>
      <c r="H37" s="24"/>
      <c r="I37" s="24"/>
      <c r="J37" s="24"/>
      <c r="K37" s="10"/>
    </row>
    <row r="38" spans="1:24" ht="15" customHeight="1" thickBot="1">
      <c r="A38" s="31"/>
      <c r="B38" s="46"/>
      <c r="C38" s="144" t="s">
        <v>110</v>
      </c>
      <c r="D38" s="392">
        <f>(D36-(D37*'Input &amp; Results'!G12))/D36</f>
        <v>0.31401394926590692</v>
      </c>
      <c r="E38" s="393"/>
      <c r="F38" s="26"/>
      <c r="G38" s="24"/>
      <c r="H38" s="24"/>
      <c r="I38" s="24"/>
      <c r="J38" s="24"/>
      <c r="K38" s="10"/>
      <c r="U38" s="196"/>
      <c r="V38" s="196"/>
      <c r="W38" s="196"/>
      <c r="X38" s="196"/>
    </row>
    <row r="39" spans="1:24" ht="15" customHeight="1">
      <c r="A39" s="31"/>
      <c r="B39" s="24"/>
      <c r="E39" s="31"/>
      <c r="F39" s="26"/>
      <c r="G39" s="24"/>
      <c r="H39" s="24"/>
      <c r="I39" s="24"/>
      <c r="J39" s="24"/>
      <c r="K39" s="10"/>
      <c r="S39" s="196"/>
      <c r="T39" s="196"/>
      <c r="U39" s="432"/>
      <c r="V39" s="432"/>
      <c r="W39" s="432"/>
      <c r="X39" s="217"/>
    </row>
    <row r="40" spans="1:24" ht="15" customHeight="1">
      <c r="A40" s="31"/>
      <c r="B40" s="24"/>
      <c r="E40" s="31"/>
      <c r="F40" s="26"/>
      <c r="G40" s="24"/>
      <c r="H40" s="24"/>
      <c r="I40" s="24"/>
      <c r="J40" s="24"/>
      <c r="K40" s="10"/>
      <c r="L40" s="16"/>
      <c r="M40" s="171"/>
      <c r="N40" s="171"/>
      <c r="O40" s="171"/>
      <c r="P40" s="171"/>
      <c r="Q40" s="42"/>
      <c r="R40" s="42"/>
      <c r="S40" s="196"/>
      <c r="T40" s="196"/>
      <c r="U40" s="218"/>
      <c r="V40" s="218"/>
      <c r="W40" s="218"/>
      <c r="X40" s="217"/>
    </row>
    <row r="41" spans="1:24" ht="21" customHeight="1">
      <c r="A41" s="31"/>
      <c r="B41" s="406" t="s">
        <v>173</v>
      </c>
      <c r="C41" s="406"/>
      <c r="D41" s="406"/>
      <c r="E41" s="406"/>
      <c r="F41" s="406"/>
      <c r="G41" s="406"/>
      <c r="H41" s="406"/>
      <c r="I41" s="406"/>
      <c r="J41" s="406"/>
      <c r="K41" s="406"/>
      <c r="L41" s="406"/>
      <c r="M41" s="406"/>
      <c r="N41" s="406"/>
      <c r="O41" s="406"/>
      <c r="P41" s="406"/>
      <c r="Q41" s="406"/>
      <c r="R41" s="406"/>
      <c r="S41" s="406"/>
      <c r="T41" s="406"/>
      <c r="U41" s="406"/>
      <c r="V41" s="217"/>
      <c r="W41" s="217"/>
      <c r="X41" s="217"/>
    </row>
    <row r="42" spans="1:24" ht="33.75" customHeight="1">
      <c r="A42" s="31"/>
      <c r="B42" s="143">
        <v>1</v>
      </c>
      <c r="C42" s="407" t="s">
        <v>97</v>
      </c>
      <c r="D42" s="407"/>
      <c r="E42" s="407"/>
      <c r="F42" s="407"/>
      <c r="G42" s="407"/>
      <c r="H42" s="407"/>
      <c r="I42" s="407"/>
      <c r="J42" s="407"/>
      <c r="K42" s="407"/>
      <c r="L42" s="407"/>
      <c r="M42" s="407"/>
      <c r="N42" s="407"/>
      <c r="O42" s="407"/>
      <c r="P42" s="407"/>
      <c r="Q42" s="407"/>
      <c r="R42" s="407"/>
      <c r="S42" s="407"/>
      <c r="T42" s="407"/>
      <c r="U42" s="407"/>
      <c r="V42" s="217"/>
      <c r="W42" s="217"/>
      <c r="X42" s="219"/>
    </row>
    <row r="43" spans="1:24" ht="50.25" customHeight="1">
      <c r="B43" s="143">
        <v>2</v>
      </c>
      <c r="C43" s="389" t="s">
        <v>152</v>
      </c>
      <c r="D43" s="389"/>
      <c r="E43" s="389"/>
      <c r="F43" s="389"/>
      <c r="G43" s="389"/>
      <c r="H43" s="389"/>
      <c r="I43" s="389"/>
      <c r="J43" s="389"/>
      <c r="K43" s="389"/>
      <c r="L43" s="389"/>
      <c r="M43" s="389"/>
      <c r="N43" s="389"/>
      <c r="O43" s="389"/>
      <c r="P43" s="389"/>
      <c r="Q43" s="389"/>
      <c r="R43" s="389"/>
      <c r="S43" s="389"/>
      <c r="T43" s="389"/>
      <c r="U43" s="389"/>
      <c r="V43" s="217"/>
      <c r="W43" s="217"/>
      <c r="X43" s="217"/>
    </row>
    <row r="44" spans="1:24" ht="150" customHeight="1">
      <c r="A44" s="31"/>
      <c r="B44" s="258">
        <v>3</v>
      </c>
      <c r="C44" s="389" t="s">
        <v>177</v>
      </c>
      <c r="D44" s="389"/>
      <c r="E44" s="389"/>
      <c r="F44" s="389"/>
      <c r="G44" s="389"/>
      <c r="H44" s="389"/>
      <c r="I44" s="389"/>
      <c r="J44" s="389"/>
      <c r="K44" s="389"/>
      <c r="L44" s="389"/>
      <c r="M44" s="389"/>
      <c r="N44" s="389"/>
      <c r="O44" s="389"/>
      <c r="P44" s="389"/>
      <c r="Q44" s="389"/>
      <c r="R44" s="389"/>
      <c r="S44" s="389"/>
      <c r="T44" s="389"/>
      <c r="U44" s="389"/>
      <c r="V44" s="217"/>
      <c r="W44" s="217"/>
      <c r="X44" s="217"/>
    </row>
    <row r="45" spans="1:24" ht="21" customHeight="1">
      <c r="B45" s="258">
        <v>4</v>
      </c>
      <c r="C45" s="394" t="s">
        <v>151</v>
      </c>
      <c r="D45" s="394"/>
      <c r="E45" s="394"/>
      <c r="F45" s="394"/>
      <c r="G45" s="394"/>
      <c r="H45" s="394"/>
      <c r="I45" s="394"/>
      <c r="J45" s="394"/>
      <c r="K45" s="394"/>
      <c r="L45" s="394"/>
      <c r="M45" s="394"/>
      <c r="N45" s="394"/>
      <c r="O45" s="394"/>
      <c r="P45" s="394"/>
      <c r="Q45" s="394"/>
      <c r="R45" s="394"/>
      <c r="S45" s="394"/>
      <c r="T45" s="394"/>
      <c r="U45" s="394"/>
      <c r="V45" s="217"/>
      <c r="W45" s="217"/>
      <c r="X45" s="217"/>
    </row>
    <row r="46" spans="1:24" ht="15" customHeight="1">
      <c r="Q46"/>
      <c r="R46"/>
      <c r="S46" s="196"/>
      <c r="T46" s="196"/>
      <c r="U46" s="196"/>
      <c r="V46" s="196"/>
      <c r="W46" s="196"/>
      <c r="X46" s="196"/>
    </row>
    <row r="47" spans="1:24" ht="15.75" customHeight="1">
      <c r="Q47"/>
      <c r="R47"/>
      <c r="S47" s="196"/>
      <c r="T47" s="196"/>
      <c r="U47" s="196"/>
      <c r="V47" s="196"/>
      <c r="W47" s="196"/>
      <c r="X47" s="196"/>
    </row>
    <row r="48" spans="1:24">
      <c r="V48" s="196"/>
      <c r="W48" s="196"/>
      <c r="X48" s="196"/>
    </row>
    <row r="49" spans="22:24">
      <c r="V49" s="196"/>
      <c r="W49" s="196"/>
      <c r="X49" s="196"/>
    </row>
    <row r="50" spans="22:24">
      <c r="V50" s="196"/>
      <c r="W50" s="196"/>
      <c r="X50" s="196"/>
    </row>
    <row r="51" spans="22:24">
      <c r="V51" s="196"/>
      <c r="W51" s="196"/>
      <c r="X51" s="196"/>
    </row>
  </sheetData>
  <sheetProtection password="9993" sheet="1" objects="1" scenarios="1" formatCells="0" formatColumns="0" formatRows="0"/>
  <dataConsolidate/>
  <mergeCells count="56">
    <mergeCell ref="C42:U42"/>
    <mergeCell ref="C43:U43"/>
    <mergeCell ref="C44:U44"/>
    <mergeCell ref="U4:V4"/>
    <mergeCell ref="B25:B26"/>
    <mergeCell ref="B20:B22"/>
    <mergeCell ref="U39:W39"/>
    <mergeCell ref="W11:X11"/>
    <mergeCell ref="U18:V18"/>
    <mergeCell ref="W18:X18"/>
    <mergeCell ref="U11:V11"/>
    <mergeCell ref="B27:B28"/>
    <mergeCell ref="R11:R12"/>
    <mergeCell ref="S11:T11"/>
    <mergeCell ref="C30:E30"/>
    <mergeCell ref="G26:G30"/>
    <mergeCell ref="D37:E37"/>
    <mergeCell ref="D33:E33"/>
    <mergeCell ref="D38:E38"/>
    <mergeCell ref="C35:E35"/>
    <mergeCell ref="B41:U41"/>
    <mergeCell ref="B33:B34"/>
    <mergeCell ref="U25:V25"/>
    <mergeCell ref="U26:V26"/>
    <mergeCell ref="U27:V27"/>
    <mergeCell ref="U28:V28"/>
    <mergeCell ref="B35:B36"/>
    <mergeCell ref="D31:E31"/>
    <mergeCell ref="D32:E32"/>
    <mergeCell ref="D36:E36"/>
    <mergeCell ref="B31:B32"/>
    <mergeCell ref="S4:T4"/>
    <mergeCell ref="B5:B12"/>
    <mergeCell ref="G5:G11"/>
    <mergeCell ref="S27:T27"/>
    <mergeCell ref="S28:T28"/>
    <mergeCell ref="R18:R19"/>
    <mergeCell ref="S18:T18"/>
    <mergeCell ref="B23:B24"/>
    <mergeCell ref="L16:P16"/>
    <mergeCell ref="C45:U45"/>
    <mergeCell ref="B1:J1"/>
    <mergeCell ref="L1:P1"/>
    <mergeCell ref="R1:X1"/>
    <mergeCell ref="S25:T25"/>
    <mergeCell ref="S26:T26"/>
    <mergeCell ref="R24:X24"/>
    <mergeCell ref="W4:X4"/>
    <mergeCell ref="B3:E3"/>
    <mergeCell ref="G3:J3"/>
    <mergeCell ref="L3:P3"/>
    <mergeCell ref="G12:G18"/>
    <mergeCell ref="B13:B19"/>
    <mergeCell ref="G19:G25"/>
    <mergeCell ref="R3:X3"/>
    <mergeCell ref="R4:R5"/>
  </mergeCell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AF60"/>
  <sheetViews>
    <sheetView showGridLines="0" zoomScale="80" zoomScaleNormal="80" zoomScalePageLayoutView="82" workbookViewId="0">
      <selection activeCell="AB1" sqref="AB1"/>
    </sheetView>
  </sheetViews>
  <sheetFormatPr defaultColWidth="8.85546875" defaultRowHeight="15"/>
  <cols>
    <col min="1" max="1" width="2" style="1" customWidth="1"/>
    <col min="2" max="2" width="4" style="1" customWidth="1"/>
    <col min="3" max="3" width="33.28515625" style="2" customWidth="1"/>
    <col min="4" max="4" width="6.42578125" style="3" customWidth="1"/>
    <col min="5" max="5" width="8.7109375" style="1" customWidth="1"/>
    <col min="6" max="6" width="3.140625" style="1" customWidth="1"/>
    <col min="7" max="7" width="4" style="1" customWidth="1"/>
    <col min="8" max="8" width="25.42578125" style="1" customWidth="1"/>
    <col min="9" max="9" width="6.140625" style="1" customWidth="1"/>
    <col min="10" max="10" width="7.85546875" style="1" customWidth="1"/>
    <col min="11" max="11" width="3" style="1" customWidth="1"/>
    <col min="12" max="12" width="9.7109375" style="1" customWidth="1"/>
    <col min="13" max="13" width="10" style="209" customWidth="1"/>
    <col min="14" max="14" width="10.5703125" style="209" customWidth="1"/>
    <col min="15" max="15" width="12.5703125" style="209" customWidth="1"/>
    <col min="16" max="16" width="14.42578125" style="209" customWidth="1"/>
    <col min="17" max="17" width="3.140625" style="1" customWidth="1"/>
    <col min="18" max="18" width="9.28515625" style="1" customWidth="1"/>
    <col min="19" max="19" width="10.28515625" style="209" customWidth="1"/>
    <col min="20" max="20" width="10.5703125" style="209" customWidth="1"/>
    <col min="21" max="21" width="11.140625" style="209" customWidth="1"/>
    <col min="22" max="22" width="10.140625" style="209" customWidth="1"/>
    <col min="23" max="23" width="10.42578125" style="209" customWidth="1"/>
    <col min="24" max="24" width="14.28515625" style="209" customWidth="1"/>
    <col min="25" max="25" width="13" customWidth="1"/>
    <col min="26" max="26" width="13.140625" bestFit="1" customWidth="1"/>
    <col min="27" max="27" width="13" customWidth="1"/>
    <col min="28" max="28" width="10.140625" customWidth="1"/>
    <col min="29" max="29" width="10.85546875" bestFit="1" customWidth="1"/>
    <col min="30" max="30" width="12.42578125" customWidth="1"/>
    <col min="31" max="31" width="16.140625" customWidth="1"/>
    <col min="32" max="32" width="9.140625" customWidth="1"/>
    <col min="33" max="33" width="9.85546875" customWidth="1"/>
    <col min="34" max="34" width="14.140625" customWidth="1"/>
    <col min="35" max="35" width="18.42578125" customWidth="1"/>
    <col min="36" max="36" width="13.85546875" customWidth="1"/>
  </cols>
  <sheetData>
    <row r="1" spans="1:24">
      <c r="B1" s="417" t="s">
        <v>136</v>
      </c>
      <c r="C1" s="417"/>
      <c r="D1" s="417"/>
      <c r="E1" s="417"/>
      <c r="F1" s="417"/>
      <c r="G1" s="417"/>
      <c r="H1" s="417"/>
      <c r="I1" s="417"/>
      <c r="J1" s="417"/>
      <c r="L1" s="419" t="s">
        <v>137</v>
      </c>
      <c r="M1" s="419"/>
      <c r="N1" s="419"/>
      <c r="O1" s="419"/>
      <c r="P1" s="419"/>
      <c r="R1" s="418" t="s">
        <v>140</v>
      </c>
      <c r="S1" s="418"/>
      <c r="T1" s="418"/>
      <c r="U1" s="418"/>
      <c r="V1" s="418"/>
      <c r="W1" s="418"/>
      <c r="X1" s="418"/>
    </row>
    <row r="2" spans="1:24">
      <c r="L2"/>
      <c r="M2" s="196"/>
      <c r="N2" s="196"/>
      <c r="O2" s="196"/>
      <c r="P2" s="196"/>
      <c r="Q2"/>
      <c r="R2"/>
      <c r="X2" s="196"/>
    </row>
    <row r="3" spans="1:24" s="6" customFormat="1">
      <c r="A3" s="4"/>
      <c r="B3" s="411" t="s">
        <v>0</v>
      </c>
      <c r="C3" s="412"/>
      <c r="D3" s="412"/>
      <c r="E3" s="413"/>
      <c r="F3" s="5"/>
      <c r="G3" s="411" t="s">
        <v>1</v>
      </c>
      <c r="H3" s="412"/>
      <c r="I3" s="412"/>
      <c r="J3" s="413"/>
      <c r="K3" s="4"/>
      <c r="L3" s="411" t="s">
        <v>138</v>
      </c>
      <c r="M3" s="412"/>
      <c r="N3" s="412"/>
      <c r="O3" s="412"/>
      <c r="P3" s="413"/>
      <c r="Q3"/>
      <c r="R3" s="411" t="s">
        <v>172</v>
      </c>
      <c r="S3" s="424"/>
      <c r="T3" s="424"/>
      <c r="U3" s="424"/>
      <c r="V3" s="424"/>
      <c r="W3" s="424"/>
      <c r="X3" s="413"/>
    </row>
    <row r="4" spans="1:24" s="6" customFormat="1">
      <c r="A4" s="4"/>
      <c r="B4" s="138"/>
      <c r="C4" s="78" t="s">
        <v>2</v>
      </c>
      <c r="D4" s="79" t="s">
        <v>3</v>
      </c>
      <c r="E4" s="80" t="s">
        <v>4</v>
      </c>
      <c r="F4" s="7"/>
      <c r="G4" s="269"/>
      <c r="H4" s="130" t="s">
        <v>2</v>
      </c>
      <c r="I4" s="131" t="s">
        <v>3</v>
      </c>
      <c r="J4" s="132" t="s">
        <v>4</v>
      </c>
      <c r="K4" s="4"/>
      <c r="L4" s="224" t="s">
        <v>5</v>
      </c>
      <c r="M4" s="202" t="s">
        <v>146</v>
      </c>
      <c r="N4" s="202" t="s">
        <v>52</v>
      </c>
      <c r="O4" s="203" t="s">
        <v>6</v>
      </c>
      <c r="P4" s="204" t="s">
        <v>15</v>
      </c>
      <c r="Q4" s="8"/>
      <c r="R4" s="399" t="s">
        <v>31</v>
      </c>
      <c r="S4" s="425" t="s">
        <v>12</v>
      </c>
      <c r="T4" s="426"/>
      <c r="U4" s="425" t="s">
        <v>101</v>
      </c>
      <c r="V4" s="426"/>
      <c r="W4" s="449" t="s">
        <v>15</v>
      </c>
      <c r="X4" s="426"/>
    </row>
    <row r="5" spans="1:24" s="6" customFormat="1" ht="15" customHeight="1">
      <c r="A5" s="4"/>
      <c r="B5" s="403" t="s">
        <v>7</v>
      </c>
      <c r="C5" s="81" t="s">
        <v>8</v>
      </c>
      <c r="D5" s="82" t="s">
        <v>9</v>
      </c>
      <c r="E5" s="220">
        <f>(SUM(E6:E9))</f>
        <v>36783.951999999997</v>
      </c>
      <c r="F5" s="9"/>
      <c r="G5" s="404" t="s">
        <v>63</v>
      </c>
      <c r="H5" s="105" t="s">
        <v>62</v>
      </c>
      <c r="I5" s="14" t="s">
        <v>9</v>
      </c>
      <c r="J5" s="177">
        <f>SUM(J6:J8)</f>
        <v>58037.845101579762</v>
      </c>
      <c r="K5" s="10"/>
      <c r="L5" s="116" t="s">
        <v>10</v>
      </c>
      <c r="M5" s="200">
        <f>'Input &amp; Results'!C7</f>
        <v>36358.703999999998</v>
      </c>
      <c r="N5" s="200">
        <v>0</v>
      </c>
      <c r="O5" s="200">
        <v>0</v>
      </c>
      <c r="P5" s="201">
        <f>((X16*('Input &amp; Results'!H23/('Input &amp; Results'!H23+'Input &amp; Results'!H24)))/(1-'Input &amp; Results'!G5))/(1-'Input &amp; Results'!G6)</f>
        <v>0</v>
      </c>
      <c r="Q5"/>
      <c r="R5" s="400"/>
      <c r="S5" s="239" t="s">
        <v>59</v>
      </c>
      <c r="T5" s="240" t="s">
        <v>60</v>
      </c>
      <c r="U5" s="239" t="s">
        <v>59</v>
      </c>
      <c r="V5" s="240" t="s">
        <v>60</v>
      </c>
      <c r="W5" s="241" t="s">
        <v>59</v>
      </c>
      <c r="X5" s="240" t="s">
        <v>60</v>
      </c>
    </row>
    <row r="6" spans="1:24" s="6" customFormat="1" ht="20.25" customHeight="1">
      <c r="A6" s="4"/>
      <c r="B6" s="404"/>
      <c r="C6" s="83" t="s">
        <v>163</v>
      </c>
      <c r="D6" s="13" t="s">
        <v>9</v>
      </c>
      <c r="E6" s="174">
        <f>'Input &amp; Results'!C7</f>
        <v>36358.703999999998</v>
      </c>
      <c r="F6" s="9"/>
      <c r="G6" s="404"/>
      <c r="H6" s="30" t="s">
        <v>12</v>
      </c>
      <c r="I6" s="14" t="s">
        <v>9</v>
      </c>
      <c r="J6" s="177">
        <f>M18</f>
        <v>58037.845101579762</v>
      </c>
      <c r="K6" s="4"/>
      <c r="L6" s="116" t="s">
        <v>13</v>
      </c>
      <c r="M6" s="200">
        <f>'Input &amp; Results'!C8</f>
        <v>59322.096000000005</v>
      </c>
      <c r="N6" s="200">
        <f>'Input &amp; Results'!C9</f>
        <v>1063.1200000000001</v>
      </c>
      <c r="O6" s="200">
        <f>'Input &amp; Results'!C12</f>
        <v>9568.08</v>
      </c>
      <c r="P6" s="201">
        <f>(X16*('Input &amp; Results'!H24/('Input &amp; Results'!H23+'Input &amp; Results'!H24)))/(1-'Input &amp; Results'!G6)</f>
        <v>0</v>
      </c>
      <c r="Q6" s="33"/>
      <c r="R6" s="260" t="s">
        <v>63</v>
      </c>
      <c r="S6" s="215">
        <f>(O9*(1-'Input &amp; Results'!G9))*'Input &amp; Results'!C22/('Input &amp; Results'!C22+'Input &amp; Results'!C27)</f>
        <v>0</v>
      </c>
      <c r="T6" s="201">
        <f>'Input &amp; Results'!C22-S6</f>
        <v>58037.845101579762</v>
      </c>
      <c r="U6" s="215">
        <f>(O9*(1-'Input &amp; Results'!G9))*('Input &amp; Results'!C27/('Input &amp; Results'!C22+'Input &amp; Results'!C27))</f>
        <v>0</v>
      </c>
      <c r="V6" s="201">
        <v>0</v>
      </c>
      <c r="W6" s="200">
        <f>'Input &amp; Results'!H27*'Input &amp; Results'!$G$17</f>
        <v>0</v>
      </c>
      <c r="X6" s="201">
        <f>'Input &amp; Results'!G21-M5Current!W6</f>
        <v>0</v>
      </c>
    </row>
    <row r="7" spans="1:24" s="6" customFormat="1">
      <c r="A7" s="4"/>
      <c r="B7" s="404"/>
      <c r="C7" s="84" t="s">
        <v>114</v>
      </c>
      <c r="D7" s="15" t="s">
        <v>9</v>
      </c>
      <c r="E7" s="175">
        <f>O5</f>
        <v>0</v>
      </c>
      <c r="F7" s="9"/>
      <c r="G7" s="404"/>
      <c r="H7" s="30" t="s">
        <v>15</v>
      </c>
      <c r="I7" s="14" t="s">
        <v>9</v>
      </c>
      <c r="J7" s="188">
        <f>O18</f>
        <v>0</v>
      </c>
      <c r="K7" s="4"/>
      <c r="L7" s="117" t="s">
        <v>11</v>
      </c>
      <c r="M7" s="200">
        <v>0</v>
      </c>
      <c r="N7" s="200">
        <v>0</v>
      </c>
      <c r="O7" s="200">
        <v>0</v>
      </c>
      <c r="P7" s="201">
        <f>W15</f>
        <v>0</v>
      </c>
      <c r="Q7"/>
      <c r="R7" s="260" t="s">
        <v>23</v>
      </c>
      <c r="S7" s="215">
        <f>(O8*(1-'Input &amp; Results'!G8))*'Input &amp; Results'!C21/('Input &amp; Results'!C21+'Input &amp; Results'!C26)</f>
        <v>0</v>
      </c>
      <c r="T7" s="201">
        <f>'Input &amp; Results'!C21-S7</f>
        <v>9550.5314724118598</v>
      </c>
      <c r="U7" s="215">
        <f>(O8*(1-'Input &amp; Results'!G8))*('Input &amp; Results'!C26/('Input &amp; Results'!C26+'Input &amp; Results'!C21))</f>
        <v>0</v>
      </c>
      <c r="V7" s="201">
        <v>0</v>
      </c>
      <c r="W7" s="200">
        <v>0</v>
      </c>
      <c r="X7" s="201">
        <v>0</v>
      </c>
    </row>
    <row r="8" spans="1:24" s="6" customFormat="1">
      <c r="A8" s="4"/>
      <c r="B8" s="404"/>
      <c r="C8" s="133" t="s">
        <v>164</v>
      </c>
      <c r="D8" s="13" t="s">
        <v>17</v>
      </c>
      <c r="E8" s="174">
        <f>'Input &amp; Results'!C10</f>
        <v>425.24799999999999</v>
      </c>
      <c r="F8" s="9"/>
      <c r="G8" s="404"/>
      <c r="H8" s="30" t="s">
        <v>18</v>
      </c>
      <c r="I8" s="14" t="s">
        <v>9</v>
      </c>
      <c r="J8" s="177">
        <f>N18</f>
        <v>0</v>
      </c>
      <c r="K8" s="4"/>
      <c r="L8" s="117" t="s">
        <v>14</v>
      </c>
      <c r="M8" s="200">
        <v>0</v>
      </c>
      <c r="N8" s="200">
        <v>0</v>
      </c>
      <c r="O8" s="200">
        <v>0</v>
      </c>
      <c r="P8" s="201">
        <f>W14</f>
        <v>0</v>
      </c>
      <c r="Q8"/>
      <c r="R8" s="260" t="s">
        <v>29</v>
      </c>
      <c r="S8" s="215">
        <f>(O7*(1-'Input &amp; Results'!G7))*'Input &amp; Results'!C20/('Input &amp; Results'!C20+'Input &amp; Results'!C25)</f>
        <v>0</v>
      </c>
      <c r="T8" s="201">
        <f>'Input &amp; Results'!C20-S8</f>
        <v>5142.5938697602323</v>
      </c>
      <c r="U8" s="215">
        <f>(O7*(1-'Input &amp; Results'!G7))*('Input &amp; Results'!C25/('Input &amp; Results'!C25+'Input &amp; Results'!C20))</f>
        <v>0</v>
      </c>
      <c r="V8" s="201">
        <v>0</v>
      </c>
      <c r="W8" s="200">
        <v>0</v>
      </c>
      <c r="X8" s="201">
        <v>0</v>
      </c>
    </row>
    <row r="9" spans="1:24" s="6" customFormat="1">
      <c r="A9" s="4"/>
      <c r="B9" s="404"/>
      <c r="C9" s="85" t="s">
        <v>145</v>
      </c>
      <c r="D9" s="16" t="s">
        <v>17</v>
      </c>
      <c r="E9" s="176">
        <f>P5</f>
        <v>0</v>
      </c>
      <c r="F9" s="9"/>
      <c r="G9" s="404"/>
      <c r="H9" s="105" t="s">
        <v>64</v>
      </c>
      <c r="I9" s="14" t="s">
        <v>9</v>
      </c>
      <c r="J9" s="177">
        <f>P29</f>
        <v>10340.872311486004</v>
      </c>
      <c r="K9" s="4"/>
      <c r="L9" s="117" t="s">
        <v>55</v>
      </c>
      <c r="M9" s="200">
        <v>0</v>
      </c>
      <c r="N9" s="200">
        <v>0</v>
      </c>
      <c r="O9" s="200">
        <v>0</v>
      </c>
      <c r="P9" s="201">
        <f>W13</f>
        <v>0</v>
      </c>
      <c r="Q9"/>
      <c r="R9" s="260" t="s">
        <v>35</v>
      </c>
      <c r="S9" s="244" t="s">
        <v>56</v>
      </c>
      <c r="T9" s="201">
        <f>'Input &amp; Results'!C19</f>
        <v>734.65626710860454</v>
      </c>
      <c r="U9" s="244" t="s">
        <v>56</v>
      </c>
      <c r="V9" s="201">
        <f>'M1Energy Handled '!U6+'M1Energy Handled '!U7+'M1Energy Handled '!U8+'M1Energy Handled '!V8+'M1Energy Handled '!V7+'M1Energy Handled '!V6+'M1Energy Handled '!U20+'M1Energy Handled '!U21+'M1Energy Handled '!U22+'M1Energy Handled '!V20+'M1Energy Handled '!V21+'M1Energy Handled '!V22+X35+X36+X34</f>
        <v>5396.8263112780705</v>
      </c>
      <c r="W9" s="200">
        <v>0</v>
      </c>
      <c r="X9" s="201">
        <v>0</v>
      </c>
    </row>
    <row r="10" spans="1:24" s="6" customFormat="1" ht="20.25" customHeight="1">
      <c r="A10" s="4"/>
      <c r="B10" s="404"/>
      <c r="C10" s="86" t="s">
        <v>168</v>
      </c>
      <c r="D10" s="17" t="s">
        <v>20</v>
      </c>
      <c r="E10" s="75">
        <f>'Input &amp; Results'!G5</f>
        <v>2.86E-2</v>
      </c>
      <c r="F10" s="9"/>
      <c r="G10" s="404"/>
      <c r="H10" s="106" t="s">
        <v>162</v>
      </c>
      <c r="I10" s="17" t="s">
        <v>20</v>
      </c>
      <c r="J10" s="177">
        <f>J9/J11</f>
        <v>0.15122939860100501</v>
      </c>
      <c r="K10" s="4"/>
      <c r="L10" s="118" t="s">
        <v>21</v>
      </c>
      <c r="M10" s="205">
        <f>M5+M6+M7+M8+M9</f>
        <v>95680.8</v>
      </c>
      <c r="N10" s="205">
        <f>N5+N6+N7+N8+N9</f>
        <v>1063.1200000000001</v>
      </c>
      <c r="O10" s="205">
        <f>O5+O6+O7+O8+O9</f>
        <v>9568.08</v>
      </c>
      <c r="P10" s="206">
        <f>P5+P6+P7+P8+P9</f>
        <v>0</v>
      </c>
      <c r="Q10" s="33"/>
      <c r="R10" s="261" t="s">
        <v>21</v>
      </c>
      <c r="S10" s="216">
        <f>S6+S7+S8</f>
        <v>0</v>
      </c>
      <c r="T10" s="206">
        <f>T6+T7+T8+T9</f>
        <v>73465.626710860466</v>
      </c>
      <c r="U10" s="216">
        <f>U6+U7+U8</f>
        <v>0</v>
      </c>
      <c r="V10" s="206">
        <f>V6+V7+V8+V9</f>
        <v>5396.8263112780705</v>
      </c>
      <c r="W10" s="205">
        <f>W6+W7+W8+W9</f>
        <v>0</v>
      </c>
      <c r="X10" s="206">
        <f>X6+X7+X8+X9</f>
        <v>0</v>
      </c>
    </row>
    <row r="11" spans="1:24" s="6" customFormat="1" ht="15" customHeight="1">
      <c r="A11" s="4"/>
      <c r="B11" s="404"/>
      <c r="C11" s="87" t="s">
        <v>169</v>
      </c>
      <c r="D11" s="19" t="s">
        <v>9</v>
      </c>
      <c r="E11" s="178">
        <f>M12+N12+O12+P12</f>
        <v>1039.8589344</v>
      </c>
      <c r="F11" s="9"/>
      <c r="G11" s="405"/>
      <c r="H11" s="137" t="s">
        <v>65</v>
      </c>
      <c r="I11" s="125" t="s">
        <v>9</v>
      </c>
      <c r="J11" s="238">
        <f>J5+J9</f>
        <v>68378.717413065766</v>
      </c>
      <c r="K11" s="10"/>
      <c r="L11" s="225" t="s">
        <v>22</v>
      </c>
      <c r="M11" s="202" t="s">
        <v>146</v>
      </c>
      <c r="N11" s="197" t="s">
        <v>52</v>
      </c>
      <c r="O11" s="203" t="s">
        <v>6</v>
      </c>
      <c r="P11" s="204" t="s">
        <v>15</v>
      </c>
      <c r="Q11"/>
      <c r="R11" s="400" t="s">
        <v>36</v>
      </c>
      <c r="S11" s="431" t="s">
        <v>12</v>
      </c>
      <c r="T11" s="430"/>
      <c r="U11" s="431" t="s">
        <v>101</v>
      </c>
      <c r="V11" s="430"/>
      <c r="W11" s="429" t="s">
        <v>15</v>
      </c>
      <c r="X11" s="430"/>
    </row>
    <row r="12" spans="1:24" s="6" customFormat="1" ht="15.95" customHeight="1">
      <c r="A12" s="4"/>
      <c r="B12" s="405"/>
      <c r="C12" s="88" t="s">
        <v>66</v>
      </c>
      <c r="D12" s="77" t="s">
        <v>9</v>
      </c>
      <c r="E12" s="221">
        <f>E5-E11</f>
        <v>35744.093065599998</v>
      </c>
      <c r="F12" s="9"/>
      <c r="G12" s="403" t="s">
        <v>23</v>
      </c>
      <c r="H12" s="112" t="s">
        <v>24</v>
      </c>
      <c r="I12" s="99" t="s">
        <v>9</v>
      </c>
      <c r="J12" s="187">
        <f>SUM(J13:J15)</f>
        <v>9550.5314724118598</v>
      </c>
      <c r="K12" s="10"/>
      <c r="L12" s="116" t="s">
        <v>10</v>
      </c>
      <c r="M12" s="200">
        <f>M5*'Input &amp; Results'!G5</f>
        <v>1039.8589344</v>
      </c>
      <c r="N12" s="200">
        <f>N5*'Input &amp; Results'!G5</f>
        <v>0</v>
      </c>
      <c r="O12" s="200">
        <f>O5*'Input &amp; Results'!G5</f>
        <v>0</v>
      </c>
      <c r="P12" s="201">
        <f>P5*'Input &amp; Results'!G5</f>
        <v>0</v>
      </c>
      <c r="Q12" s="33"/>
      <c r="R12" s="400"/>
      <c r="S12" s="239" t="s">
        <v>59</v>
      </c>
      <c r="T12" s="240" t="s">
        <v>60</v>
      </c>
      <c r="U12" s="239" t="s">
        <v>59</v>
      </c>
      <c r="V12" s="240" t="s">
        <v>60</v>
      </c>
      <c r="W12" s="241" t="s">
        <v>59</v>
      </c>
      <c r="X12" s="240" t="s">
        <v>60</v>
      </c>
    </row>
    <row r="13" spans="1:24" s="6" customFormat="1" ht="15.95" customHeight="1">
      <c r="A13" s="4"/>
      <c r="B13" s="403" t="s">
        <v>25</v>
      </c>
      <c r="C13" s="81" t="s">
        <v>26</v>
      </c>
      <c r="D13" s="82" t="s">
        <v>9</v>
      </c>
      <c r="E13" s="220">
        <f>SUM(E14:E17)</f>
        <v>69528.04800000001</v>
      </c>
      <c r="F13" s="9"/>
      <c r="G13" s="404"/>
      <c r="H13" s="30" t="s">
        <v>12</v>
      </c>
      <c r="I13" s="14" t="s">
        <v>9</v>
      </c>
      <c r="J13" s="177">
        <f>M19</f>
        <v>9550.5314724118598</v>
      </c>
      <c r="K13" s="4"/>
      <c r="L13" s="116" t="s">
        <v>13</v>
      </c>
      <c r="M13" s="200">
        <f>(M5+M6-M12)*'Input &amp; Results'!G6</f>
        <v>3299.6293878508732</v>
      </c>
      <c r="N13" s="200">
        <f>(N5+N6-N12)*'Input &amp; Results'!G6+'M1Energy Handled '!N12*(1-'Input &amp; Results'!G6)</f>
        <v>48.803440159254365</v>
      </c>
      <c r="O13" s="200">
        <f>('M1Energy Handled '!O5+'M1Energy Handled '!O6)*'Input &amp; Results'!G6+('M1Energy Handled '!O12*(1-'Input &amp; Results'!G5))</f>
        <v>283.44512862564216</v>
      </c>
      <c r="P13" s="201">
        <f>(P6+P5-P12)*'Input &amp; Results'!G6</f>
        <v>0</v>
      </c>
      <c r="Q13" s="33"/>
      <c r="R13" s="260" t="s">
        <v>63</v>
      </c>
      <c r="S13" s="215">
        <f>S6/(1-'Input &amp; Results'!G9)</f>
        <v>0</v>
      </c>
      <c r="T13" s="201">
        <f>T6/(1-'Input &amp; Results'!G9)</f>
        <v>68378.717413065766</v>
      </c>
      <c r="U13" s="215">
        <f>U6/(1-'Input &amp; Results'!G9)</f>
        <v>0</v>
      </c>
      <c r="V13" s="201">
        <f>V6/(1-'Input &amp; Results'!G9)</f>
        <v>0</v>
      </c>
      <c r="W13" s="200">
        <f>W6/(1-'Input &amp; Results'!G9)</f>
        <v>0</v>
      </c>
      <c r="X13" s="201">
        <f>X6/(1-'Input &amp; Results'!G9)</f>
        <v>0</v>
      </c>
    </row>
    <row r="14" spans="1:24" s="6" customFormat="1">
      <c r="A14" s="4"/>
      <c r="B14" s="404"/>
      <c r="C14" s="83" t="s">
        <v>163</v>
      </c>
      <c r="D14" s="13" t="s">
        <v>9</v>
      </c>
      <c r="E14" s="174">
        <f>'Input &amp; Results'!C8</f>
        <v>59322.096000000005</v>
      </c>
      <c r="F14" s="9"/>
      <c r="G14" s="404"/>
      <c r="H14" s="30" t="s">
        <v>15</v>
      </c>
      <c r="I14" s="14" t="s">
        <v>9</v>
      </c>
      <c r="J14" s="188">
        <f>O19</f>
        <v>0</v>
      </c>
      <c r="K14" s="4"/>
      <c r="L14" s="118" t="s">
        <v>21</v>
      </c>
      <c r="M14" s="205">
        <f>M12+M13</f>
        <v>4339.4883222508734</v>
      </c>
      <c r="N14" s="205">
        <f>N12+N13</f>
        <v>48.803440159254365</v>
      </c>
      <c r="O14" s="205">
        <f>O12+O13</f>
        <v>283.44512862564216</v>
      </c>
      <c r="P14" s="206">
        <f>P12+P13</f>
        <v>0</v>
      </c>
      <c r="Q14" s="33"/>
      <c r="R14" s="260" t="s">
        <v>23</v>
      </c>
      <c r="S14" s="215">
        <f>S7/(1-'Input &amp; Results'!G8)</f>
        <v>0</v>
      </c>
      <c r="T14" s="201">
        <f>(T13+T7)/(1-'Input &amp; Results'!G8)</f>
        <v>84733.747753607473</v>
      </c>
      <c r="U14" s="215">
        <f>U7/(1-'Input &amp; Results'!G8)</f>
        <v>0</v>
      </c>
      <c r="V14" s="201">
        <f>(V13+V7)/(1-'Input &amp; Results'!G8)</f>
        <v>0</v>
      </c>
      <c r="W14" s="200">
        <f>W7/(1-'Input &amp; Results'!G8)</f>
        <v>0</v>
      </c>
      <c r="X14" s="201">
        <f>(X13+X7)/(1-'Input &amp; Results'!G8)</f>
        <v>0</v>
      </c>
    </row>
    <row r="15" spans="1:24" s="6" customFormat="1" ht="14.45" customHeight="1">
      <c r="A15" s="4"/>
      <c r="B15" s="404"/>
      <c r="C15" s="84" t="s">
        <v>114</v>
      </c>
      <c r="D15" s="15" t="s">
        <v>9</v>
      </c>
      <c r="E15" s="175">
        <f>O6</f>
        <v>9568.08</v>
      </c>
      <c r="G15" s="404"/>
      <c r="H15" s="30" t="s">
        <v>18</v>
      </c>
      <c r="I15" s="14" t="s">
        <v>9</v>
      </c>
      <c r="J15" s="177">
        <f>N19</f>
        <v>0</v>
      </c>
      <c r="K15" s="4"/>
      <c r="L15" s="24"/>
      <c r="M15" s="207"/>
      <c r="N15" s="207"/>
      <c r="O15" s="207"/>
      <c r="P15" s="207"/>
      <c r="Q15" s="33"/>
      <c r="R15" s="260" t="s">
        <v>29</v>
      </c>
      <c r="S15" s="215">
        <f>S8/(1-'Input &amp; Results'!G7)</f>
        <v>0</v>
      </c>
      <c r="T15" s="201">
        <f>(T14+T8)/(1-'Input &amp; Results'!G7)</f>
        <v>95633.070746086567</v>
      </c>
      <c r="U15" s="215">
        <f>U8/(1-'Input &amp; Results'!G7)</f>
        <v>0</v>
      </c>
      <c r="V15" s="201">
        <f>(V14+V8)/(1-'Input &amp; Results'!G7)</f>
        <v>0</v>
      </c>
      <c r="W15" s="200">
        <f>W8/(1-'Input &amp; Results'!G7)</f>
        <v>0</v>
      </c>
      <c r="X15" s="201">
        <f>(X14+X8)/(1-'Input &amp; Results'!G7)</f>
        <v>0</v>
      </c>
    </row>
    <row r="16" spans="1:24" s="6" customFormat="1" ht="15.95" customHeight="1">
      <c r="A16" s="4"/>
      <c r="B16" s="404"/>
      <c r="C16" s="133" t="s">
        <v>164</v>
      </c>
      <c r="D16" s="13" t="s">
        <v>9</v>
      </c>
      <c r="E16" s="174">
        <f>'Input &amp; Results'!C11</f>
        <v>637.87200000000018</v>
      </c>
      <c r="G16" s="404"/>
      <c r="H16" s="22" t="s">
        <v>27</v>
      </c>
      <c r="I16" s="14" t="s">
        <v>9</v>
      </c>
      <c r="J16" s="177">
        <f>P30</f>
        <v>6804.4988681298473</v>
      </c>
      <c r="K16" s="4"/>
      <c r="L16" s="421" t="s">
        <v>139</v>
      </c>
      <c r="M16" s="422"/>
      <c r="N16" s="422"/>
      <c r="O16" s="422"/>
      <c r="P16" s="423"/>
      <c r="Q16" s="24"/>
      <c r="R16" s="260" t="s">
        <v>35</v>
      </c>
      <c r="S16" s="244" t="s">
        <v>56</v>
      </c>
      <c r="T16" s="201">
        <f>T15+T9</f>
        <v>96367.727013195166</v>
      </c>
      <c r="U16" s="244" t="s">
        <v>56</v>
      </c>
      <c r="V16" s="201">
        <f>V15+V9</f>
        <v>5396.8263112780705</v>
      </c>
      <c r="W16" s="200" t="s">
        <v>149</v>
      </c>
      <c r="X16" s="201">
        <f>X15+X9</f>
        <v>0</v>
      </c>
    </row>
    <row r="17" spans="1:32" s="6" customFormat="1" ht="18.75" customHeight="1">
      <c r="A17" s="4"/>
      <c r="B17" s="404"/>
      <c r="C17" s="85" t="s">
        <v>145</v>
      </c>
      <c r="D17" s="16" t="s">
        <v>17</v>
      </c>
      <c r="E17" s="176">
        <f>P6</f>
        <v>0</v>
      </c>
      <c r="G17" s="404"/>
      <c r="H17" s="22" t="s">
        <v>57</v>
      </c>
      <c r="I17" s="22" t="s">
        <v>20</v>
      </c>
      <c r="J17" s="177">
        <f>J16/J18</f>
        <v>8.0304471931493801E-2</v>
      </c>
      <c r="K17" s="4"/>
      <c r="L17" s="225" t="s">
        <v>31</v>
      </c>
      <c r="M17" s="197" t="s">
        <v>12</v>
      </c>
      <c r="N17" s="197" t="s">
        <v>32</v>
      </c>
      <c r="O17" s="250" t="s">
        <v>61</v>
      </c>
      <c r="P17" s="199" t="s">
        <v>21</v>
      </c>
      <c r="R17" s="261" t="s">
        <v>21</v>
      </c>
      <c r="S17" s="216">
        <f>SUM(S13:S15)</f>
        <v>0</v>
      </c>
      <c r="T17" s="206">
        <f>SUM(T13:T16)</f>
        <v>345113.262925955</v>
      </c>
      <c r="U17" s="216">
        <f>SUM(U13:U15)</f>
        <v>0</v>
      </c>
      <c r="V17" s="206">
        <f>SUM(V13:V16)</f>
        <v>5396.8263112780705</v>
      </c>
      <c r="W17" s="205">
        <f>SUM(W13:W15)</f>
        <v>0</v>
      </c>
      <c r="X17" s="206">
        <f>SUM(X13:X16)</f>
        <v>0</v>
      </c>
    </row>
    <row r="18" spans="1:32" s="6" customFormat="1">
      <c r="A18" s="4"/>
      <c r="B18" s="404"/>
      <c r="C18" s="86" t="s">
        <v>170</v>
      </c>
      <c r="D18" s="23" t="s">
        <v>20</v>
      </c>
      <c r="E18" s="75">
        <f>'Input &amp; Results'!G6</f>
        <v>3.4864714474507896E-2</v>
      </c>
      <c r="F18" s="21"/>
      <c r="G18" s="405"/>
      <c r="H18" s="113" t="s">
        <v>28</v>
      </c>
      <c r="I18" s="100" t="s">
        <v>17</v>
      </c>
      <c r="J18" s="222">
        <f>J12+J11+J16</f>
        <v>84733.747753607473</v>
      </c>
      <c r="K18" s="10"/>
      <c r="L18" s="116" t="s">
        <v>63</v>
      </c>
      <c r="M18" s="200">
        <f>S6+T6</f>
        <v>58037.845101579762</v>
      </c>
      <c r="N18" s="200">
        <f>U6+V6</f>
        <v>0</v>
      </c>
      <c r="O18" s="200">
        <f>W6+X6</f>
        <v>0</v>
      </c>
      <c r="P18" s="201">
        <f>M18+N18+O18</f>
        <v>58037.845101579762</v>
      </c>
      <c r="R18" s="400" t="s">
        <v>22</v>
      </c>
      <c r="S18" s="431" t="s">
        <v>12</v>
      </c>
      <c r="T18" s="430"/>
      <c r="U18" s="431" t="s">
        <v>101</v>
      </c>
      <c r="V18" s="430"/>
      <c r="W18" s="429" t="s">
        <v>15</v>
      </c>
      <c r="X18" s="430"/>
      <c r="Y18" s="21"/>
      <c r="Z18" s="21"/>
    </row>
    <row r="19" spans="1:32" s="6" customFormat="1" ht="15.95" customHeight="1">
      <c r="A19" s="4"/>
      <c r="B19" s="405"/>
      <c r="C19" s="90" t="s">
        <v>171</v>
      </c>
      <c r="D19" s="91" t="s">
        <v>9</v>
      </c>
      <c r="E19" s="235">
        <f>M13+N13+O13+P13-X27-X26-X28</f>
        <v>3507.7591732141022</v>
      </c>
      <c r="F19" s="9"/>
      <c r="G19" s="403" t="s">
        <v>29</v>
      </c>
      <c r="H19" s="112" t="s">
        <v>30</v>
      </c>
      <c r="I19" s="103" t="s">
        <v>9</v>
      </c>
      <c r="J19" s="187">
        <f>SUM(J20:J22)</f>
        <v>5142.5938697602323</v>
      </c>
      <c r="K19" s="10"/>
      <c r="L19" s="116" t="s">
        <v>23</v>
      </c>
      <c r="M19" s="200">
        <f>S7+T7</f>
        <v>9550.5314724118598</v>
      </c>
      <c r="N19" s="200">
        <f>U7+V7</f>
        <v>0</v>
      </c>
      <c r="O19" s="200">
        <f>W7+X7</f>
        <v>0</v>
      </c>
      <c r="P19" s="201">
        <f>M19+N19+O19</f>
        <v>9550.5314724118598</v>
      </c>
      <c r="R19" s="400"/>
      <c r="S19" s="239" t="s">
        <v>59</v>
      </c>
      <c r="T19" s="240" t="s">
        <v>60</v>
      </c>
      <c r="U19" s="239" t="s">
        <v>59</v>
      </c>
      <c r="V19" s="240" t="s">
        <v>60</v>
      </c>
      <c r="W19" s="241" t="s">
        <v>59</v>
      </c>
      <c r="X19" s="240" t="s">
        <v>60</v>
      </c>
      <c r="Y19" s="51"/>
      <c r="Z19" s="50"/>
    </row>
    <row r="20" spans="1:32" s="6" customFormat="1" ht="15.75" customHeight="1">
      <c r="A20" s="4"/>
      <c r="B20" s="403" t="s">
        <v>11</v>
      </c>
      <c r="C20" s="78" t="s">
        <v>54</v>
      </c>
      <c r="D20" s="92" t="s">
        <v>9</v>
      </c>
      <c r="E20" s="180">
        <f>E21+E22+E23+E24+E25+E26</f>
        <v>0</v>
      </c>
      <c r="F20" s="9"/>
      <c r="G20" s="404"/>
      <c r="H20" s="30" t="s">
        <v>12</v>
      </c>
      <c r="I20" s="14" t="s">
        <v>9</v>
      </c>
      <c r="J20" s="177">
        <f>M20</f>
        <v>5142.5938697602323</v>
      </c>
      <c r="K20" s="4"/>
      <c r="L20" s="116" t="s">
        <v>29</v>
      </c>
      <c r="M20" s="200">
        <f>S8+T8</f>
        <v>5142.5938697602323</v>
      </c>
      <c r="N20" s="200">
        <f>U8+V8</f>
        <v>0</v>
      </c>
      <c r="O20" s="200">
        <f>W8+X8</f>
        <v>0</v>
      </c>
      <c r="P20" s="201">
        <f>M20+N20+O20</f>
        <v>5142.5938697602323</v>
      </c>
      <c r="R20" s="260" t="s">
        <v>63</v>
      </c>
      <c r="S20" s="215">
        <f t="shared" ref="S20:X20" si="0">S13-S6</f>
        <v>0</v>
      </c>
      <c r="T20" s="201">
        <f t="shared" si="0"/>
        <v>10340.872311486004</v>
      </c>
      <c r="U20" s="215">
        <f t="shared" si="0"/>
        <v>0</v>
      </c>
      <c r="V20" s="201">
        <f t="shared" si="0"/>
        <v>0</v>
      </c>
      <c r="W20" s="200">
        <f t="shared" si="0"/>
        <v>0</v>
      </c>
      <c r="X20" s="201">
        <f t="shared" si="0"/>
        <v>0</v>
      </c>
    </row>
    <row r="21" spans="1:32" s="6" customFormat="1" ht="27.75" customHeight="1">
      <c r="A21" s="4"/>
      <c r="B21" s="404"/>
      <c r="C21" s="24" t="s">
        <v>147</v>
      </c>
      <c r="D21" s="24" t="s">
        <v>9</v>
      </c>
      <c r="E21" s="181">
        <f>O7</f>
        <v>0</v>
      </c>
      <c r="F21" s="25"/>
      <c r="G21" s="404"/>
      <c r="H21" s="30" t="s">
        <v>15</v>
      </c>
      <c r="I21" s="14" t="s">
        <v>9</v>
      </c>
      <c r="J21" s="188">
        <f>O20</f>
        <v>0</v>
      </c>
      <c r="K21" s="4"/>
      <c r="L21" s="116" t="s">
        <v>35</v>
      </c>
      <c r="M21" s="200">
        <f>T9</f>
        <v>734.65626710860454</v>
      </c>
      <c r="N21" s="200">
        <f>V9</f>
        <v>5396.8263112780705</v>
      </c>
      <c r="O21" s="200">
        <f>W9+X9</f>
        <v>0</v>
      </c>
      <c r="P21" s="201">
        <f>M21+N21+O21</f>
        <v>6131.4825783866754</v>
      </c>
      <c r="R21" s="260" t="s">
        <v>23</v>
      </c>
      <c r="S21" s="215">
        <f>S14-S7</f>
        <v>0</v>
      </c>
      <c r="T21" s="201">
        <f>T14-T13-T7</f>
        <v>6804.4988681298473</v>
      </c>
      <c r="U21" s="215">
        <f>U14-U7</f>
        <v>0</v>
      </c>
      <c r="V21" s="201">
        <f>V14-V7-V13</f>
        <v>0</v>
      </c>
      <c r="W21" s="200">
        <f>W14-W7</f>
        <v>0</v>
      </c>
      <c r="X21" s="201">
        <f>X14-X7-X13</f>
        <v>0</v>
      </c>
      <c r="Y21" s="50"/>
      <c r="Z21" s="21"/>
    </row>
    <row r="22" spans="1:32" s="6" customFormat="1" ht="18.75" customHeight="1">
      <c r="A22" s="4"/>
      <c r="B22" s="405"/>
      <c r="C22" s="93" t="s">
        <v>145</v>
      </c>
      <c r="D22" s="93" t="s">
        <v>9</v>
      </c>
      <c r="E22" s="182">
        <f>P7</f>
        <v>0</v>
      </c>
      <c r="F22" s="18"/>
      <c r="G22" s="404"/>
      <c r="H22" s="30" t="s">
        <v>18</v>
      </c>
      <c r="I22" s="14" t="s">
        <v>9</v>
      </c>
      <c r="J22" s="177">
        <f>N20</f>
        <v>0</v>
      </c>
      <c r="K22" s="4"/>
      <c r="L22" s="119" t="s">
        <v>21</v>
      </c>
      <c r="M22" s="200">
        <f>M21+M20+M19+M18</f>
        <v>73465.626710860466</v>
      </c>
      <c r="N22" s="200">
        <f>N21+N20+N19+N18</f>
        <v>5396.8263112780705</v>
      </c>
      <c r="O22" s="200">
        <f>O21+O20+O19+O18</f>
        <v>0</v>
      </c>
      <c r="P22" s="201">
        <f>SUM(P18:P21)</f>
        <v>78862.453022138536</v>
      </c>
      <c r="R22" s="264" t="s">
        <v>29</v>
      </c>
      <c r="S22" s="216">
        <f>S15-S8</f>
        <v>0</v>
      </c>
      <c r="T22" s="206">
        <f>T15-T14-T8</f>
        <v>5756.7291227188616</v>
      </c>
      <c r="U22" s="216">
        <f>U15-U8</f>
        <v>0</v>
      </c>
      <c r="V22" s="206">
        <f>V15-V8-V14</f>
        <v>0</v>
      </c>
      <c r="W22" s="205">
        <f>W15-W8</f>
        <v>0</v>
      </c>
      <c r="X22" s="206">
        <f>X15-X8-X14</f>
        <v>0</v>
      </c>
      <c r="Z22" s="21"/>
    </row>
    <row r="23" spans="1:32" s="6" customFormat="1" ht="15" customHeight="1">
      <c r="A23" s="4"/>
      <c r="B23" s="403" t="s">
        <v>14</v>
      </c>
      <c r="C23" s="24" t="s">
        <v>115</v>
      </c>
      <c r="D23" s="94" t="s">
        <v>9</v>
      </c>
      <c r="E23" s="183">
        <f>O8</f>
        <v>0</v>
      </c>
      <c r="F23" s="27"/>
      <c r="G23" s="404"/>
      <c r="H23" s="114" t="s">
        <v>33</v>
      </c>
      <c r="I23" s="28" t="s">
        <v>9</v>
      </c>
      <c r="J23" s="177">
        <f>P31</f>
        <v>5756.7291227188616</v>
      </c>
      <c r="K23" s="4"/>
      <c r="L23" s="224" t="s">
        <v>36</v>
      </c>
      <c r="M23" s="202" t="s">
        <v>12</v>
      </c>
      <c r="N23" s="202" t="s">
        <v>32</v>
      </c>
      <c r="O23" s="250" t="s">
        <v>61</v>
      </c>
      <c r="P23" s="204" t="s">
        <v>21</v>
      </c>
      <c r="S23" s="208"/>
      <c r="T23" s="208"/>
      <c r="U23" s="208"/>
      <c r="V23" s="208"/>
      <c r="W23" s="208"/>
      <c r="X23" s="208"/>
      <c r="Z23" s="21"/>
    </row>
    <row r="24" spans="1:32" s="6" customFormat="1" ht="14.25" customHeight="1">
      <c r="A24" s="4"/>
      <c r="B24" s="405"/>
      <c r="C24" s="93" t="s">
        <v>19</v>
      </c>
      <c r="D24" s="93" t="s">
        <v>9</v>
      </c>
      <c r="E24" s="184">
        <f>P8</f>
        <v>0</v>
      </c>
      <c r="F24" s="29"/>
      <c r="G24" s="404"/>
      <c r="H24" s="22" t="s">
        <v>58</v>
      </c>
      <c r="I24" s="17" t="s">
        <v>20</v>
      </c>
      <c r="J24" s="177">
        <f>J23/J25</f>
        <v>6.0196008324394777E-2</v>
      </c>
      <c r="K24" s="4"/>
      <c r="L24" s="262" t="s">
        <v>63</v>
      </c>
      <c r="M24" s="200">
        <f>S13+T13</f>
        <v>68378.717413065766</v>
      </c>
      <c r="N24" s="200">
        <f>U13+V13</f>
        <v>0</v>
      </c>
      <c r="O24" s="200">
        <f>W13+X13</f>
        <v>0</v>
      </c>
      <c r="P24" s="201">
        <f>M24+N24+O24</f>
        <v>68378.717413065766</v>
      </c>
      <c r="R24" s="411" t="s">
        <v>86</v>
      </c>
      <c r="S24" s="424"/>
      <c r="T24" s="424"/>
      <c r="U24" s="424"/>
      <c r="V24" s="424"/>
      <c r="W24" s="424"/>
      <c r="X24" s="413"/>
      <c r="Y24" s="50"/>
      <c r="Z24" s="21"/>
    </row>
    <row r="25" spans="1:32" s="6" customFormat="1" ht="29.25" customHeight="1">
      <c r="A25" s="4"/>
      <c r="B25" s="403" t="s">
        <v>16</v>
      </c>
      <c r="C25" s="24" t="s">
        <v>115</v>
      </c>
      <c r="D25" s="95" t="s">
        <v>9</v>
      </c>
      <c r="E25" s="236">
        <f>O9</f>
        <v>0</v>
      </c>
      <c r="F25" s="24"/>
      <c r="G25" s="405"/>
      <c r="H25" s="115" t="s">
        <v>34</v>
      </c>
      <c r="I25" s="104" t="s">
        <v>17</v>
      </c>
      <c r="J25" s="222">
        <f>J19+J18+J23</f>
        <v>95633.070746086567</v>
      </c>
      <c r="K25" s="10"/>
      <c r="L25" s="262" t="s">
        <v>23</v>
      </c>
      <c r="M25" s="200">
        <f>S14+T14</f>
        <v>84733.747753607473</v>
      </c>
      <c r="N25" s="200">
        <f>U14+V14</f>
        <v>0</v>
      </c>
      <c r="O25" s="200">
        <f>W14+X14</f>
        <v>0</v>
      </c>
      <c r="P25" s="201">
        <f>M25+N25+O25</f>
        <v>84733.747753607473</v>
      </c>
      <c r="R25" s="246" t="s">
        <v>71</v>
      </c>
      <c r="S25" s="446" t="s">
        <v>69</v>
      </c>
      <c r="T25" s="446"/>
      <c r="U25" s="446" t="s">
        <v>70</v>
      </c>
      <c r="V25" s="446"/>
      <c r="W25" s="255" t="s">
        <v>67</v>
      </c>
      <c r="X25" s="252" t="s">
        <v>68</v>
      </c>
      <c r="AB25" s="21"/>
    </row>
    <row r="26" spans="1:32" s="6" customFormat="1" ht="15.75" customHeight="1">
      <c r="A26" s="4"/>
      <c r="B26" s="405"/>
      <c r="C26" s="93" t="s">
        <v>19</v>
      </c>
      <c r="D26" s="76" t="s">
        <v>9</v>
      </c>
      <c r="E26" s="186">
        <f>P9</f>
        <v>0</v>
      </c>
      <c r="F26" s="5"/>
      <c r="G26" s="403" t="s">
        <v>35</v>
      </c>
      <c r="H26" s="101" t="s">
        <v>161</v>
      </c>
      <c r="I26" s="102" t="s">
        <v>17</v>
      </c>
      <c r="J26" s="177">
        <f>SUM(J27:J29)</f>
        <v>6131.4825783866754</v>
      </c>
      <c r="K26" s="4"/>
      <c r="L26" s="262" t="s">
        <v>29</v>
      </c>
      <c r="M26" s="200">
        <f>S15+T15</f>
        <v>95633.070746086567</v>
      </c>
      <c r="N26" s="200">
        <f>U15+V15</f>
        <v>0</v>
      </c>
      <c r="O26" s="200">
        <f>W15+X15</f>
        <v>0</v>
      </c>
      <c r="P26" s="201">
        <f>M26+N26+O26</f>
        <v>95633.070746086567</v>
      </c>
      <c r="R26" s="260" t="s">
        <v>63</v>
      </c>
      <c r="S26" s="445">
        <f t="shared" ref="S26:X28" si="1">S30+S34</f>
        <v>478.404</v>
      </c>
      <c r="T26" s="445"/>
      <c r="U26" s="445">
        <f t="shared" si="1"/>
        <v>72.348749208315141</v>
      </c>
      <c r="V26" s="445"/>
      <c r="W26" s="200">
        <f t="shared" si="1"/>
        <v>72.348749208315141</v>
      </c>
      <c r="X26" s="201">
        <f t="shared" si="1"/>
        <v>0</v>
      </c>
    </row>
    <row r="27" spans="1:32" s="6" customFormat="1">
      <c r="A27" s="4"/>
      <c r="B27" s="409"/>
      <c r="C27" s="266" t="s">
        <v>165</v>
      </c>
      <c r="D27" s="47" t="s">
        <v>9</v>
      </c>
      <c r="E27" s="179">
        <f>E12+E13-E19+E20</f>
        <v>101764.38189238591</v>
      </c>
      <c r="F27" s="24"/>
      <c r="G27" s="404"/>
      <c r="H27" s="30" t="s">
        <v>12</v>
      </c>
      <c r="I27" s="14" t="s">
        <v>9</v>
      </c>
      <c r="J27" s="177">
        <f>M21</f>
        <v>734.65626710860454</v>
      </c>
      <c r="K27" s="4"/>
      <c r="L27" s="265" t="s">
        <v>35</v>
      </c>
      <c r="M27" s="205">
        <f>T16</f>
        <v>96367.727013195166</v>
      </c>
      <c r="N27" s="205">
        <f>V16</f>
        <v>5396.8263112780705</v>
      </c>
      <c r="O27" s="205">
        <f>X16</f>
        <v>0</v>
      </c>
      <c r="P27" s="206">
        <f>M27+N27+O27</f>
        <v>101764.55332447324</v>
      </c>
      <c r="R27" s="260" t="s">
        <v>23</v>
      </c>
      <c r="S27" s="445">
        <f t="shared" si="1"/>
        <v>1285.6228990689012</v>
      </c>
      <c r="T27" s="445"/>
      <c r="U27" s="445">
        <f t="shared" si="1"/>
        <v>103.24126801276429</v>
      </c>
      <c r="V27" s="445"/>
      <c r="W27" s="200">
        <f t="shared" si="1"/>
        <v>61.46876894386299</v>
      </c>
      <c r="X27" s="201">
        <f t="shared" si="1"/>
        <v>41.772499068901304</v>
      </c>
      <c r="AA27" s="52"/>
    </row>
    <row r="28" spans="1:32" s="6" customFormat="1" ht="14.45" customHeight="1">
      <c r="A28" s="4"/>
      <c r="B28" s="410"/>
      <c r="C28" s="140" t="s">
        <v>39</v>
      </c>
      <c r="D28" s="139" t="s">
        <v>9</v>
      </c>
      <c r="E28" s="257">
        <f>E27-J30</f>
        <v>-0.17143208732886706</v>
      </c>
      <c r="F28" s="31"/>
      <c r="G28" s="404"/>
      <c r="H28" s="30" t="s">
        <v>15</v>
      </c>
      <c r="I28" s="14" t="s">
        <v>9</v>
      </c>
      <c r="J28" s="188">
        <f>O21</f>
        <v>0</v>
      </c>
      <c r="K28" s="4"/>
      <c r="L28" s="227" t="s">
        <v>38</v>
      </c>
      <c r="M28" s="197" t="s">
        <v>12</v>
      </c>
      <c r="N28" s="197" t="s">
        <v>32</v>
      </c>
      <c r="O28" s="250" t="s">
        <v>61</v>
      </c>
      <c r="P28" s="199" t="s">
        <v>21</v>
      </c>
      <c r="R28" s="260" t="s">
        <v>29</v>
      </c>
      <c r="S28" s="445">
        <f t="shared" si="1"/>
        <v>2324.7771834216674</v>
      </c>
      <c r="T28" s="445"/>
      <c r="U28" s="445">
        <f t="shared" si="1"/>
        <v>139.94230668561369</v>
      </c>
      <c r="V28" s="445"/>
      <c r="W28" s="200">
        <f t="shared" si="1"/>
        <v>57.596022332847397</v>
      </c>
      <c r="X28" s="201">
        <f t="shared" si="1"/>
        <v>82.346284352766276</v>
      </c>
      <c r="AA28" s="21"/>
    </row>
    <row r="29" spans="1:32" s="6" customFormat="1" ht="30" customHeight="1" thickBot="1">
      <c r="A29" s="4"/>
      <c r="F29" s="31"/>
      <c r="G29" s="404"/>
      <c r="H29" s="30" t="s">
        <v>18</v>
      </c>
      <c r="I29" s="14" t="s">
        <v>9</v>
      </c>
      <c r="J29" s="177">
        <f>N21</f>
        <v>5396.8263112780705</v>
      </c>
      <c r="K29" s="10"/>
      <c r="L29" s="262" t="s">
        <v>63</v>
      </c>
      <c r="M29" s="200">
        <f>S20+T20</f>
        <v>10340.872311486004</v>
      </c>
      <c r="N29" s="200">
        <f>U20+V20</f>
        <v>0</v>
      </c>
      <c r="O29" s="200">
        <f>W20+X20</f>
        <v>0</v>
      </c>
      <c r="P29" s="201">
        <f>M29+N29+O29</f>
        <v>10340.872311486004</v>
      </c>
      <c r="R29" s="246" t="s">
        <v>12</v>
      </c>
      <c r="S29" s="446" t="s">
        <v>69</v>
      </c>
      <c r="T29" s="446"/>
      <c r="U29" s="446" t="s">
        <v>70</v>
      </c>
      <c r="V29" s="446"/>
      <c r="W29" s="255" t="s">
        <v>67</v>
      </c>
      <c r="X29" s="252" t="s">
        <v>68</v>
      </c>
      <c r="AA29" s="52"/>
    </row>
    <row r="30" spans="1:32" s="6" customFormat="1" ht="18.95" customHeight="1">
      <c r="A30" s="24"/>
      <c r="B30" s="26"/>
      <c r="C30" s="414" t="s">
        <v>37</v>
      </c>
      <c r="D30" s="415"/>
      <c r="E30" s="416"/>
      <c r="F30" s="31"/>
      <c r="G30" s="405"/>
      <c r="H30" s="97" t="s">
        <v>166</v>
      </c>
      <c r="I30" s="97"/>
      <c r="J30" s="223">
        <f>J26+J25</f>
        <v>101764.55332447324</v>
      </c>
      <c r="K30" s="10"/>
      <c r="L30" s="262" t="s">
        <v>23</v>
      </c>
      <c r="M30" s="200">
        <f>S21+T21</f>
        <v>6804.4988681298473</v>
      </c>
      <c r="N30" s="200">
        <f>U21+V21</f>
        <v>0</v>
      </c>
      <c r="O30" s="200">
        <f>W21+X21</f>
        <v>0</v>
      </c>
      <c r="P30" s="201">
        <f>M30+N30+O30</f>
        <v>6804.4988681298473</v>
      </c>
      <c r="R30" s="260" t="s">
        <v>63</v>
      </c>
      <c r="S30" s="445">
        <f>('M1Energy Handled '!S6)/(1-'Input &amp; Results'!G9)</f>
        <v>452.81332378819729</v>
      </c>
      <c r="T30" s="445"/>
      <c r="U30" s="445">
        <f>S30-'M1Energy Handled '!S6</f>
        <v>68.478686635011172</v>
      </c>
      <c r="V30" s="445"/>
      <c r="W30" s="200">
        <f>'M1Energy Handled '!S20</f>
        <v>68.478686635011172</v>
      </c>
      <c r="X30" s="201">
        <f>U30-W30</f>
        <v>0</v>
      </c>
      <c r="AA30" s="52"/>
      <c r="AB30"/>
      <c r="AC30"/>
      <c r="AD30"/>
      <c r="AE30"/>
      <c r="AF30"/>
    </row>
    <row r="31" spans="1:32" s="6" customFormat="1">
      <c r="A31" s="24"/>
      <c r="B31" s="408"/>
      <c r="C31" s="11" t="s">
        <v>40</v>
      </c>
      <c r="D31" s="390">
        <f>E27+E19</f>
        <v>105272.14106560001</v>
      </c>
      <c r="E31" s="391"/>
      <c r="F31" s="31"/>
      <c r="G31" s="24"/>
      <c r="H31" s="24"/>
      <c r="I31" s="24"/>
      <c r="J31" s="24"/>
      <c r="K31" s="10"/>
      <c r="L31" s="265" t="s">
        <v>29</v>
      </c>
      <c r="M31" s="205">
        <f>S22+T22</f>
        <v>5756.7291227188616</v>
      </c>
      <c r="N31" s="205">
        <f>U22+V22</f>
        <v>0</v>
      </c>
      <c r="O31" s="205">
        <f>W22+X22</f>
        <v>0</v>
      </c>
      <c r="P31" s="206">
        <f>M31+N31+O31</f>
        <v>5756.7291227188616</v>
      </c>
      <c r="R31" s="260" t="s">
        <v>23</v>
      </c>
      <c r="S31" s="445">
        <f>(S30+'M1Energy Handled '!S7)/(1-'Input &amp; Results'!G8)</f>
        <v>1214.401533948906</v>
      </c>
      <c r="T31" s="445"/>
      <c r="U31" s="445">
        <f>S31-S30-'M1Energy Handled '!S7</f>
        <v>97.521873896562965</v>
      </c>
      <c r="V31" s="445"/>
      <c r="W31" s="200">
        <f>'M1Energy Handled '!S21</f>
        <v>57.983859694489865</v>
      </c>
      <c r="X31" s="201">
        <f>U31-W31</f>
        <v>39.5380142020731</v>
      </c>
      <c r="AA31" s="44"/>
      <c r="AB31"/>
      <c r="AC31"/>
      <c r="AD31"/>
      <c r="AE31"/>
      <c r="AF31"/>
    </row>
    <row r="32" spans="1:32" s="6" customFormat="1" ht="16.5" customHeight="1">
      <c r="A32" s="24"/>
      <c r="B32" s="408"/>
      <c r="C32" s="11" t="s">
        <v>41</v>
      </c>
      <c r="D32" s="390">
        <f>J26+J19+J12+J5</f>
        <v>78862.453022138536</v>
      </c>
      <c r="E32" s="391"/>
      <c r="F32" s="26"/>
      <c r="G32" s="24"/>
      <c r="J32" s="12"/>
      <c r="K32" s="10"/>
      <c r="M32" s="208"/>
      <c r="N32" s="208"/>
      <c r="O32" s="208"/>
      <c r="P32" s="208"/>
      <c r="R32" s="260" t="s">
        <v>29</v>
      </c>
      <c r="S32" s="445">
        <f>(S31+'M1Energy Handled '!S8)/(1-'Input &amp; Results'!G7)</f>
        <v>2205.3137881351745</v>
      </c>
      <c r="T32" s="445"/>
      <c r="U32" s="445">
        <f>S32-S31-'M1Energy Handled '!S8</f>
        <v>132.7510871484875</v>
      </c>
      <c r="V32" s="445"/>
      <c r="W32" s="200">
        <f>'M1Energy Handled '!S22</f>
        <v>54.966649654866956</v>
      </c>
      <c r="X32" s="201">
        <f>U32-W32</f>
        <v>77.784437493620544</v>
      </c>
      <c r="AA32" s="43"/>
      <c r="AB32"/>
      <c r="AC32"/>
      <c r="AD32"/>
      <c r="AE32"/>
      <c r="AF32"/>
    </row>
    <row r="33" spans="1:31" ht="27" customHeight="1" thickBot="1">
      <c r="A33" s="31"/>
      <c r="B33" s="420"/>
      <c r="C33" s="144" t="s">
        <v>42</v>
      </c>
      <c r="D33" s="447">
        <f>(D31-D32-E28)/D31</f>
        <v>0.25087225554851761</v>
      </c>
      <c r="E33" s="448"/>
      <c r="F33" s="26"/>
      <c r="G33" s="24"/>
      <c r="J33" s="12"/>
      <c r="K33" s="10"/>
      <c r="R33" s="246" t="s">
        <v>32</v>
      </c>
      <c r="S33" s="446" t="s">
        <v>69</v>
      </c>
      <c r="T33" s="446"/>
      <c r="U33" s="446" t="s">
        <v>70</v>
      </c>
      <c r="V33" s="446"/>
      <c r="W33" s="255" t="s">
        <v>67</v>
      </c>
      <c r="X33" s="252" t="s">
        <v>68</v>
      </c>
      <c r="Y33" s="1"/>
      <c r="Z33" s="1"/>
      <c r="AA33" s="43"/>
    </row>
    <row r="34" spans="1:31" ht="15" customHeight="1" thickBot="1">
      <c r="A34" s="31"/>
      <c r="B34" s="420"/>
      <c r="C34" s="40"/>
      <c r="D34" s="16"/>
      <c r="E34" s="31"/>
      <c r="F34" s="26"/>
      <c r="G34" s="24"/>
      <c r="J34" s="24"/>
      <c r="K34" s="10"/>
      <c r="R34" s="260" t="s">
        <v>63</v>
      </c>
      <c r="S34" s="445">
        <f>('M1Energy Handled '!U6)/(1-'Input &amp; Results'!G9)</f>
        <v>25.590676211802702</v>
      </c>
      <c r="T34" s="445"/>
      <c r="U34" s="445">
        <f>S34-'M1Energy Handled '!U6</f>
        <v>3.8700625733039651</v>
      </c>
      <c r="V34" s="445"/>
      <c r="W34" s="200">
        <f>'M1Energy Handled '!U20</f>
        <v>3.8700625733039651</v>
      </c>
      <c r="X34" s="201">
        <f>U34-W34</f>
        <v>0</v>
      </c>
      <c r="Y34" s="1"/>
      <c r="Z34" s="1"/>
      <c r="AA34" s="43"/>
    </row>
    <row r="35" spans="1:31" ht="15" customHeight="1">
      <c r="A35" s="31"/>
      <c r="B35" s="408"/>
      <c r="C35" s="414" t="s">
        <v>78</v>
      </c>
      <c r="D35" s="415"/>
      <c r="E35" s="416"/>
      <c r="F35" s="26"/>
      <c r="G35" s="24"/>
      <c r="J35" s="24"/>
      <c r="K35" s="10"/>
      <c r="R35" s="260" t="s">
        <v>23</v>
      </c>
      <c r="S35" s="445">
        <f>('M1Energy Handled '!U7+S34)/(1-'Input &amp; Results'!G8)</f>
        <v>71.221365119995255</v>
      </c>
      <c r="T35" s="445"/>
      <c r="U35" s="445">
        <f>S35-S34-'M1Energy Handled '!U7</f>
        <v>5.7193941162013289</v>
      </c>
      <c r="V35" s="445"/>
      <c r="W35" s="200">
        <f>'M1Energy Handled '!U21</f>
        <v>3.4849092493731249</v>
      </c>
      <c r="X35" s="201">
        <f>U35-W35</f>
        <v>2.234484866828204</v>
      </c>
      <c r="AA35" s="44"/>
    </row>
    <row r="36" spans="1:31" ht="15" customHeight="1">
      <c r="A36" s="31"/>
      <c r="B36" s="408"/>
      <c r="C36" s="11" t="s">
        <v>40</v>
      </c>
      <c r="D36" s="390">
        <f>M29+M30+M31+N31+N30+N29+D37</f>
        <v>101764.55332447325</v>
      </c>
      <c r="E36" s="391"/>
      <c r="F36" s="26"/>
      <c r="G36" s="24"/>
      <c r="H36" s="24"/>
      <c r="I36" s="24"/>
      <c r="J36" s="24"/>
      <c r="K36" s="10"/>
      <c r="R36" s="264" t="s">
        <v>29</v>
      </c>
      <c r="S36" s="444">
        <f>('M1Energy Handled '!U8+S35)/(1-'Input &amp; Results'!G7)</f>
        <v>119.46339528649294</v>
      </c>
      <c r="T36" s="444"/>
      <c r="U36" s="444">
        <f>S36-S35-'M1Energy Handled '!U8</f>
        <v>7.1912195371261731</v>
      </c>
      <c r="V36" s="444"/>
      <c r="W36" s="205">
        <f>'M1Energy Handled '!U22</f>
        <v>2.6293726779804416</v>
      </c>
      <c r="X36" s="206">
        <f>U36-W36</f>
        <v>4.5618468591457315</v>
      </c>
      <c r="Y36" s="168"/>
      <c r="Z36" s="36"/>
      <c r="AB36" s="36"/>
      <c r="AC36" s="36"/>
      <c r="AD36" s="36"/>
      <c r="AE36" s="36"/>
    </row>
    <row r="37" spans="1:31" ht="15.95" customHeight="1">
      <c r="A37" s="31"/>
      <c r="B37" s="46"/>
      <c r="C37" s="11" t="s">
        <v>41</v>
      </c>
      <c r="D37" s="390">
        <f>M22+N22</f>
        <v>78862.453022138536</v>
      </c>
      <c r="E37" s="391"/>
      <c r="F37" s="26"/>
      <c r="G37" s="24"/>
      <c r="H37" s="24"/>
      <c r="I37" s="24"/>
      <c r="J37" s="24"/>
      <c r="K37" s="10"/>
      <c r="T37" s="218"/>
      <c r="U37" s="218"/>
      <c r="V37" s="217"/>
      <c r="W37" s="217"/>
    </row>
    <row r="38" spans="1:31" ht="15" customHeight="1" thickBot="1">
      <c r="A38" s="31"/>
      <c r="B38" s="46"/>
      <c r="C38" s="144" t="s">
        <v>110</v>
      </c>
      <c r="D38" s="392">
        <f>(D36-(D37*'Input &amp; Results'!G12))/D36</f>
        <v>0.30254489012869579</v>
      </c>
      <c r="E38" s="393"/>
      <c r="F38" s="26"/>
      <c r="G38" s="24"/>
      <c r="H38" s="24"/>
      <c r="I38" s="24"/>
      <c r="J38" s="24"/>
      <c r="K38" s="10"/>
      <c r="T38" s="217"/>
      <c r="U38" s="219"/>
      <c r="V38" s="217"/>
      <c r="W38" s="217"/>
    </row>
    <row r="39" spans="1:31" ht="15" customHeight="1">
      <c r="A39" s="31"/>
      <c r="B39" s="24"/>
      <c r="C39" s="40"/>
      <c r="D39" s="16"/>
      <c r="E39" s="31"/>
      <c r="F39" s="26"/>
      <c r="G39" s="24"/>
      <c r="H39" s="24"/>
      <c r="I39" s="24"/>
      <c r="J39" s="24"/>
      <c r="K39" s="10"/>
      <c r="S39" s="196"/>
      <c r="T39" s="217"/>
      <c r="U39" s="217"/>
      <c r="V39" s="217"/>
      <c r="W39" s="217"/>
    </row>
    <row r="40" spans="1:31">
      <c r="A40" s="31"/>
      <c r="B40" s="24"/>
      <c r="C40" s="40"/>
      <c r="D40" s="16"/>
      <c r="E40" s="31"/>
      <c r="F40" s="26"/>
      <c r="G40" s="24"/>
      <c r="H40" s="24"/>
      <c r="I40" s="24"/>
      <c r="J40" s="24"/>
      <c r="K40" s="10"/>
      <c r="L40" s="16"/>
      <c r="M40" s="171"/>
      <c r="N40" s="171"/>
      <c r="O40" s="171"/>
      <c r="P40" s="171"/>
      <c r="Q40" s="42"/>
      <c r="R40" s="42"/>
      <c r="S40" s="196"/>
      <c r="T40" s="217"/>
      <c r="U40" s="217"/>
      <c r="V40" s="217"/>
      <c r="W40" s="217"/>
    </row>
    <row r="41" spans="1:31" ht="16.5" customHeight="1">
      <c r="A41" s="31"/>
      <c r="B41" s="406" t="s">
        <v>173</v>
      </c>
      <c r="C41" s="406"/>
      <c r="D41" s="406"/>
      <c r="E41" s="406"/>
      <c r="F41" s="406"/>
      <c r="G41" s="406"/>
      <c r="H41" s="406"/>
      <c r="I41" s="406"/>
      <c r="J41" s="406"/>
      <c r="K41" s="406"/>
      <c r="L41" s="406"/>
      <c r="M41" s="406"/>
      <c r="N41" s="406"/>
      <c r="O41" s="406"/>
      <c r="P41" s="406"/>
      <c r="Q41" s="406"/>
      <c r="R41" s="406"/>
      <c r="S41" s="406"/>
      <c r="T41" s="406"/>
      <c r="U41" s="406"/>
      <c r="V41" s="217"/>
      <c r="W41" s="217"/>
    </row>
    <row r="42" spans="1:31" ht="36" customHeight="1">
      <c r="A42" s="31"/>
      <c r="B42" s="143">
        <v>1</v>
      </c>
      <c r="C42" s="407" t="s">
        <v>96</v>
      </c>
      <c r="D42" s="407"/>
      <c r="E42" s="407"/>
      <c r="F42" s="407"/>
      <c r="G42" s="407"/>
      <c r="H42" s="407"/>
      <c r="I42" s="407"/>
      <c r="J42" s="407"/>
      <c r="K42" s="407"/>
      <c r="L42" s="407"/>
      <c r="M42" s="407"/>
      <c r="N42" s="407"/>
      <c r="O42" s="407"/>
      <c r="P42" s="407"/>
      <c r="Q42" s="407"/>
      <c r="R42" s="407"/>
      <c r="S42" s="407"/>
      <c r="T42" s="407"/>
      <c r="U42" s="407"/>
      <c r="V42" s="196"/>
      <c r="W42" s="196"/>
    </row>
    <row r="43" spans="1:31" ht="50.1" customHeight="1">
      <c r="B43" s="143">
        <v>2</v>
      </c>
      <c r="C43" s="389" t="s">
        <v>153</v>
      </c>
      <c r="D43" s="389"/>
      <c r="E43" s="389"/>
      <c r="F43" s="389"/>
      <c r="G43" s="389"/>
      <c r="H43" s="389"/>
      <c r="I43" s="389"/>
      <c r="J43" s="389"/>
      <c r="K43" s="389"/>
      <c r="L43" s="389"/>
      <c r="M43" s="389"/>
      <c r="N43" s="389"/>
      <c r="O43" s="389"/>
      <c r="P43" s="389"/>
      <c r="Q43" s="389"/>
      <c r="R43" s="389"/>
      <c r="S43" s="389"/>
      <c r="T43" s="389"/>
      <c r="U43" s="389"/>
      <c r="V43" s="196"/>
      <c r="W43" s="196"/>
    </row>
    <row r="44" spans="1:31" ht="138.6" customHeight="1">
      <c r="B44" s="258">
        <v>3</v>
      </c>
      <c r="C44" s="389" t="s">
        <v>178</v>
      </c>
      <c r="D44" s="389"/>
      <c r="E44" s="389"/>
      <c r="F44" s="389"/>
      <c r="G44" s="389"/>
      <c r="H44" s="389"/>
      <c r="I44" s="389"/>
      <c r="J44" s="389"/>
      <c r="K44" s="389"/>
      <c r="L44" s="389"/>
      <c r="M44" s="389"/>
      <c r="N44" s="389"/>
      <c r="O44" s="389"/>
      <c r="P44" s="389"/>
      <c r="Q44" s="389"/>
      <c r="R44" s="389"/>
      <c r="S44" s="389"/>
      <c r="T44" s="389"/>
      <c r="U44" s="389"/>
      <c r="V44" s="196"/>
      <c r="W44" s="196"/>
    </row>
    <row r="45" spans="1:31" ht="22.5" customHeight="1">
      <c r="B45" s="258">
        <v>4</v>
      </c>
      <c r="C45" s="394" t="s">
        <v>100</v>
      </c>
      <c r="D45" s="394"/>
      <c r="E45" s="394"/>
      <c r="F45" s="394"/>
      <c r="G45" s="394"/>
      <c r="H45" s="394"/>
      <c r="I45" s="394"/>
      <c r="J45" s="394"/>
      <c r="K45" s="394"/>
      <c r="L45" s="394"/>
      <c r="M45" s="394"/>
      <c r="N45" s="394"/>
      <c r="O45" s="394"/>
      <c r="P45" s="394"/>
      <c r="Q45" s="394"/>
      <c r="R45" s="394"/>
      <c r="S45" s="394"/>
      <c r="T45" s="394"/>
      <c r="U45" s="394"/>
      <c r="V45" s="196"/>
      <c r="W45" s="196"/>
    </row>
    <row r="46" spans="1:31" ht="15.75" customHeight="1">
      <c r="B46"/>
      <c r="C46"/>
      <c r="D46"/>
      <c r="E46"/>
      <c r="F46"/>
      <c r="G46"/>
      <c r="H46"/>
      <c r="I46"/>
      <c r="J46"/>
      <c r="K46"/>
      <c r="L46"/>
      <c r="M46" s="196"/>
      <c r="N46" s="196"/>
      <c r="O46" s="196"/>
      <c r="P46" s="196"/>
      <c r="Q46"/>
      <c r="R46"/>
      <c r="S46" s="196"/>
      <c r="T46" s="196"/>
      <c r="U46" s="196"/>
      <c r="V46" s="196"/>
      <c r="W46" s="196"/>
    </row>
    <row r="47" spans="1:31" ht="15" customHeight="1">
      <c r="C47" s="1"/>
      <c r="D47" s="1"/>
      <c r="G47"/>
      <c r="H47"/>
      <c r="I47"/>
      <c r="J47"/>
      <c r="K47"/>
      <c r="L47"/>
      <c r="M47" s="196"/>
      <c r="N47" s="196"/>
      <c r="O47" s="196"/>
      <c r="P47" s="196"/>
      <c r="Q47"/>
      <c r="R47"/>
      <c r="S47" s="196"/>
      <c r="T47" s="196"/>
      <c r="U47" s="196"/>
      <c r="V47" s="196"/>
      <c r="W47" s="196"/>
    </row>
    <row r="48" spans="1:31" ht="15" customHeight="1">
      <c r="C48" s="1"/>
      <c r="D48" s="1"/>
      <c r="G48"/>
      <c r="H48"/>
      <c r="I48"/>
      <c r="J48"/>
      <c r="K48"/>
      <c r="L48"/>
      <c r="M48" s="196"/>
      <c r="N48" s="196"/>
      <c r="O48" s="196"/>
      <c r="P48" s="196"/>
      <c r="Q48"/>
      <c r="R48"/>
      <c r="S48" s="196"/>
      <c r="T48" s="196"/>
      <c r="U48" s="196"/>
      <c r="V48" s="196"/>
      <c r="W48" s="196"/>
    </row>
    <row r="49" spans="3:24" ht="15" customHeight="1">
      <c r="C49"/>
      <c r="D49"/>
      <c r="E49"/>
      <c r="F49"/>
      <c r="G49"/>
      <c r="H49"/>
      <c r="I49"/>
      <c r="J49"/>
      <c r="K49"/>
      <c r="L49"/>
      <c r="M49" s="196"/>
      <c r="N49" s="196"/>
      <c r="O49" s="196"/>
      <c r="P49" s="196"/>
      <c r="Q49"/>
      <c r="R49"/>
      <c r="S49" s="196"/>
      <c r="T49" s="196"/>
      <c r="U49" s="196"/>
      <c r="V49" s="196"/>
      <c r="W49" s="196"/>
    </row>
    <row r="50" spans="3:24" ht="15" customHeight="1">
      <c r="C50"/>
      <c r="D50"/>
      <c r="E50"/>
      <c r="F50"/>
      <c r="G50"/>
      <c r="H50"/>
      <c r="I50"/>
      <c r="J50"/>
      <c r="K50"/>
      <c r="L50"/>
      <c r="M50" s="196"/>
      <c r="N50" s="196"/>
      <c r="O50" s="196"/>
      <c r="P50" s="196"/>
      <c r="Q50"/>
      <c r="R50"/>
      <c r="S50" s="196"/>
      <c r="T50" s="196"/>
      <c r="U50" s="196"/>
      <c r="V50" s="196"/>
      <c r="W50" s="196"/>
    </row>
    <row r="51" spans="3:24" ht="15" customHeight="1">
      <c r="C51" s="1"/>
      <c r="D51" s="1"/>
      <c r="J51"/>
      <c r="K51"/>
      <c r="L51"/>
      <c r="M51" s="196"/>
      <c r="N51" s="196"/>
      <c r="O51" s="196"/>
      <c r="P51" s="196"/>
      <c r="Q51"/>
      <c r="R51"/>
      <c r="S51" s="196"/>
      <c r="T51" s="196"/>
      <c r="U51" s="196"/>
      <c r="V51" s="196"/>
      <c r="W51" s="196"/>
    </row>
    <row r="52" spans="3:24" ht="15" customHeight="1">
      <c r="C52" s="1"/>
      <c r="D52" s="1"/>
      <c r="J52"/>
      <c r="K52"/>
      <c r="L52"/>
      <c r="M52" s="196"/>
      <c r="N52" s="196"/>
      <c r="O52" s="196"/>
      <c r="P52" s="196"/>
      <c r="Q52"/>
      <c r="R52"/>
      <c r="S52" s="196"/>
      <c r="T52" s="196"/>
      <c r="U52" s="196"/>
      <c r="V52" s="196"/>
      <c r="W52" s="196"/>
    </row>
    <row r="53" spans="3:24" ht="15" customHeight="1">
      <c r="C53" s="1"/>
      <c r="D53" s="1"/>
      <c r="J53"/>
      <c r="K53"/>
      <c r="L53"/>
      <c r="M53" s="196"/>
      <c r="N53" s="196"/>
      <c r="O53" s="196"/>
      <c r="P53" s="196"/>
      <c r="Q53"/>
      <c r="R53"/>
      <c r="S53" s="196"/>
      <c r="T53" s="196"/>
      <c r="U53" s="196"/>
      <c r="V53" s="196"/>
      <c r="W53" s="196"/>
    </row>
    <row r="54" spans="3:24" ht="15" customHeight="1">
      <c r="C54" s="1"/>
      <c r="D54" s="1"/>
      <c r="J54"/>
      <c r="K54"/>
      <c r="L54"/>
      <c r="M54" s="196"/>
      <c r="N54" s="196"/>
      <c r="O54" s="196"/>
      <c r="P54" s="196"/>
      <c r="Q54"/>
      <c r="R54"/>
      <c r="S54" s="196"/>
      <c r="T54" s="196"/>
      <c r="U54" s="196"/>
      <c r="V54" s="196"/>
      <c r="W54" s="196"/>
    </row>
    <row r="55" spans="3:24" ht="15" customHeight="1">
      <c r="C55" s="1"/>
      <c r="D55" s="1"/>
      <c r="J55"/>
      <c r="K55"/>
      <c r="L55"/>
      <c r="M55" s="196"/>
      <c r="N55" s="196"/>
      <c r="O55" s="196"/>
      <c r="P55" s="196"/>
      <c r="Q55"/>
      <c r="R55"/>
      <c r="S55" s="196"/>
      <c r="T55" s="196"/>
      <c r="U55" s="196"/>
      <c r="V55" s="196"/>
      <c r="W55" s="196"/>
    </row>
    <row r="56" spans="3:24" ht="15" customHeight="1">
      <c r="C56" s="1"/>
      <c r="D56" s="1"/>
      <c r="J56"/>
      <c r="K56"/>
      <c r="L56"/>
      <c r="M56" s="196"/>
      <c r="N56" s="196"/>
      <c r="O56" s="196"/>
      <c r="P56" s="196"/>
      <c r="Q56"/>
      <c r="R56"/>
      <c r="S56" s="196"/>
      <c r="T56" s="196"/>
      <c r="U56" s="196"/>
      <c r="V56" s="196"/>
      <c r="W56" s="196"/>
    </row>
    <row r="57" spans="3:24" ht="15" customHeight="1">
      <c r="C57" s="1"/>
      <c r="D57" s="1"/>
      <c r="J57"/>
      <c r="K57"/>
      <c r="L57"/>
      <c r="M57" s="196"/>
      <c r="N57" s="196"/>
      <c r="O57" s="196"/>
      <c r="P57" s="196"/>
      <c r="Q57"/>
      <c r="R57"/>
      <c r="S57" s="196"/>
      <c r="T57" s="196"/>
      <c r="U57" s="196"/>
      <c r="V57" s="196"/>
      <c r="W57" s="196"/>
      <c r="X57" s="196"/>
    </row>
    <row r="58" spans="3:24" ht="15" customHeight="1">
      <c r="C58" s="1"/>
      <c r="D58" s="1"/>
      <c r="J58"/>
      <c r="K58"/>
      <c r="L58"/>
      <c r="M58" s="196"/>
      <c r="N58" s="196"/>
      <c r="O58" s="196"/>
      <c r="P58" s="196"/>
      <c r="Q58"/>
      <c r="R58"/>
      <c r="S58" s="196"/>
      <c r="T58" s="196"/>
      <c r="U58" s="196"/>
      <c r="V58" s="196"/>
      <c r="W58" s="196"/>
      <c r="X58" s="196"/>
    </row>
    <row r="59" spans="3:24" ht="15" customHeight="1">
      <c r="C59" s="1"/>
      <c r="D59" s="1"/>
      <c r="J59"/>
      <c r="K59"/>
      <c r="L59"/>
      <c r="M59" s="196"/>
      <c r="N59" s="196"/>
      <c r="O59" s="196"/>
      <c r="P59" s="196"/>
      <c r="Q59"/>
      <c r="R59"/>
      <c r="S59" s="196"/>
      <c r="T59" s="196"/>
      <c r="U59" s="196"/>
      <c r="V59" s="196"/>
      <c r="W59" s="196"/>
      <c r="X59" s="196"/>
    </row>
    <row r="60" spans="3:24" ht="15" customHeight="1">
      <c r="C60" s="1"/>
      <c r="D60" s="1"/>
      <c r="J60"/>
      <c r="K60"/>
      <c r="L60"/>
      <c r="M60" s="196"/>
      <c r="N60" s="196"/>
      <c r="O60" s="196"/>
      <c r="P60" s="196"/>
      <c r="Q60"/>
      <c r="R60"/>
      <c r="S60" s="196"/>
      <c r="T60" s="196"/>
      <c r="U60" s="196"/>
      <c r="V60" s="196"/>
      <c r="W60" s="196"/>
      <c r="X60" s="196"/>
    </row>
  </sheetData>
  <sheetProtection password="9993" sheet="1" objects="1" scenarios="1" formatCells="0" formatColumns="0" formatRows="0"/>
  <dataConsolidate/>
  <mergeCells count="71">
    <mergeCell ref="S36:T36"/>
    <mergeCell ref="B3:E3"/>
    <mergeCell ref="G3:J3"/>
    <mergeCell ref="L3:P3"/>
    <mergeCell ref="B31:B32"/>
    <mergeCell ref="D31:E31"/>
    <mergeCell ref="D32:E32"/>
    <mergeCell ref="R11:R12"/>
    <mergeCell ref="R3:X3"/>
    <mergeCell ref="R4:R5"/>
    <mergeCell ref="S4:T4"/>
    <mergeCell ref="U4:V4"/>
    <mergeCell ref="W4:X4"/>
    <mergeCell ref="S11:T11"/>
    <mergeCell ref="B33:B34"/>
    <mergeCell ref="B35:B36"/>
    <mergeCell ref="B23:B24"/>
    <mergeCell ref="L16:P16"/>
    <mergeCell ref="B5:B12"/>
    <mergeCell ref="G5:G11"/>
    <mergeCell ref="G12:G18"/>
    <mergeCell ref="B13:B19"/>
    <mergeCell ref="G19:G25"/>
    <mergeCell ref="B25:B26"/>
    <mergeCell ref="B20:B22"/>
    <mergeCell ref="G26:G30"/>
    <mergeCell ref="B27:B28"/>
    <mergeCell ref="R18:R19"/>
    <mergeCell ref="S18:T18"/>
    <mergeCell ref="U29:V29"/>
    <mergeCell ref="U33:V33"/>
    <mergeCell ref="R24:X24"/>
    <mergeCell ref="U26:V26"/>
    <mergeCell ref="S26:T26"/>
    <mergeCell ref="S27:T27"/>
    <mergeCell ref="S28:T28"/>
    <mergeCell ref="U27:V27"/>
    <mergeCell ref="U28:V28"/>
    <mergeCell ref="S30:T30"/>
    <mergeCell ref="S29:T29"/>
    <mergeCell ref="S33:T33"/>
    <mergeCell ref="S31:T31"/>
    <mergeCell ref="S32:T32"/>
    <mergeCell ref="S25:T25"/>
    <mergeCell ref="B41:U41"/>
    <mergeCell ref="C42:U42"/>
    <mergeCell ref="C43:U43"/>
    <mergeCell ref="C44:U44"/>
    <mergeCell ref="C45:U45"/>
    <mergeCell ref="D37:E37"/>
    <mergeCell ref="C30:E30"/>
    <mergeCell ref="D33:E33"/>
    <mergeCell ref="C35:E35"/>
    <mergeCell ref="D38:E38"/>
    <mergeCell ref="D36:E36"/>
    <mergeCell ref="U36:V36"/>
    <mergeCell ref="B1:J1"/>
    <mergeCell ref="L1:P1"/>
    <mergeCell ref="R1:X1"/>
    <mergeCell ref="U30:V30"/>
    <mergeCell ref="U31:V31"/>
    <mergeCell ref="U32:V32"/>
    <mergeCell ref="S34:T34"/>
    <mergeCell ref="S35:T35"/>
    <mergeCell ref="U34:V34"/>
    <mergeCell ref="U35:V35"/>
    <mergeCell ref="U11:V11"/>
    <mergeCell ref="W11:X11"/>
    <mergeCell ref="U18:V18"/>
    <mergeCell ref="W18:X18"/>
    <mergeCell ref="U25:V25"/>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Instructions</vt:lpstr>
      <vt:lpstr>Input &amp; Results</vt:lpstr>
      <vt:lpstr>M1Energy Handled </vt:lpstr>
      <vt:lpstr>M2DF</vt:lpstr>
      <vt:lpstr>M3SM</vt:lpstr>
      <vt:lpstr>M4PP</vt:lpstr>
      <vt:lpstr>M5Current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Prayas (Energy Group)</dc:creator>
  <cp:lastModifiedBy>Mokshda Kaul</cp:lastModifiedBy>
  <dcterms:created xsi:type="dcterms:W3CDTF">2019-01-21T07:30:56Z</dcterms:created>
  <dcterms:modified xsi:type="dcterms:W3CDTF">2019-03-29T06:43:15Z</dcterms:modified>
</cp:coreProperties>
</file>